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Users\delciney.santos\Desktop\Licitação PE 7_22\"/>
    </mc:Choice>
  </mc:AlternateContent>
  <xr:revisionPtr revIDLastSave="0" documentId="13_ncr:1_{444E6920-7F03-45FD-857D-60D7FA9FA5E5}" xr6:coauthVersionLast="36" xr6:coauthVersionMax="47" xr10:uidLastSave="{00000000-0000-0000-0000-000000000000}"/>
  <bookViews>
    <workbookView xWindow="0" yWindow="0" windowWidth="28800" windowHeight="12225" tabRatio="886" xr2:uid="{00000000-000D-0000-FFFF-FFFF00000000}"/>
  </bookViews>
  <sheets>
    <sheet name="PRODUTIVIDADE" sheetId="7" r:id="rId1"/>
    <sheet name="SERVENTE" sheetId="3" r:id="rId2"/>
    <sheet name="ENCARREGADO" sheetId="4" r:id="rId3"/>
    <sheet name="MÓDULOS PCFP -MENOR VLR OBTIDO" sheetId="14" r:id="rId4"/>
    <sheet name="CÁLCULO SUBSTITUTO FÉRIAS" sheetId="15" r:id="rId5"/>
    <sheet name="INSUMOS-LIMPEZA" sheetId="10" r:id="rId6"/>
    <sheet name="EQUIPAMENTOS-LIMPEZA" sheetId="11" r:id="rId7"/>
    <sheet name="QUANTID SERVENTES-IN 05-2017" sheetId="8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_xlfn_GAMMA">NA()</definedName>
    <definedName name="a">[1]Efetivo!#REF!</definedName>
    <definedName name="_xlnm.Print_Area" localSheetId="6">'EQUIPAMENTOS-LIMPEZA'!$A$1:$H$27</definedName>
    <definedName name="_xlnm.Print_Area" localSheetId="5">'INSUMOS-LIMPEZA'!$A$1:$I$51</definedName>
    <definedName name="_xlnm.Print_Area" localSheetId="0">PRODUTIVIDADE!$A$1:$G$88</definedName>
    <definedName name="BAL">#REF!</definedName>
    <definedName name="BALBINA">#REF!</definedName>
    <definedName name="COMPARATIVO">#REF!</definedName>
    <definedName name="CUSTOS_UNITARIOS_EVITADOS">#REF!</definedName>
    <definedName name="Data">#REF!</definedName>
    <definedName name="Despesas">[1]Efetivo!#REF!</definedName>
    <definedName name="Excel_BuiltIn_Print_Area">#REF!</definedName>
    <definedName name="Excel_BuiltIn_Print_Area_1">#REF!</definedName>
    <definedName name="Excel_BuiltIn_Print_Area_2">#REF!</definedName>
    <definedName name="Excel_BuiltIn_Print_Area_3_1">#REF!</definedName>
    <definedName name="Excel_BuiltIn_Print_Area_7">#REF!</definedName>
    <definedName name="Excel_BuiltIn_Print_Area_7_1">#REF!</definedName>
    <definedName name="Fim">[2]Boletim!$AB$5</definedName>
    <definedName name="GARÇON">#REF!</definedName>
    <definedName name="Início">[2]Boletim!$X$5</definedName>
    <definedName name="lista_materiais">#REF!</definedName>
    <definedName name="MAUÁ">#REF!</definedName>
    <definedName name="MOT">#REF!</definedName>
    <definedName name="Mpa">#REF!</definedName>
    <definedName name="Não">[1]Efetivo!#REF!</definedName>
    <definedName name="odi">#REF!</definedName>
    <definedName name="ORÇAMENTO">#REF!</definedName>
    <definedName name="percentuais">[3]BD_Paim!$D$13:$D$15</definedName>
    <definedName name="PLAN5">[1]Efetivo!#REF!</definedName>
    <definedName name="RCC_METAS_BENEFICIOS">'[4]Metas e Beneficios'!$A$13:$D$17,'[4]Metas e Beneficios'!$A$22:$D$26</definedName>
    <definedName name="RCC_PERDAS_ANTES">'[4]Cálculo de Perdas'!$A$9:$D$9,'[4]Cálculo de Perdas'!$A$10:$D$10,'[4]Cálculo de Perdas'!$A$14:$D$15,'[4]Cálculo de Perdas'!$A$19:$D$19,'[4]Cálculo de Perdas'!$A$21:$D$21,'[4]Cálculo de Perdas'!$A$23:$D$23,'[4]Cálculo de Perdas'!$A$25:$D$38</definedName>
    <definedName name="RCC_PERDAS_APOS">'[4]Cálculo de Perdas'!$A$9:$D$9,'[4]Cálculo de Perdas'!$A$10:$D$10,'[4]Cálculo de Perdas'!$A$14:$D$15,'[4]Cálculo de Perdas'!$A$19:$D$19,'[4]Cálculo de Perdas'!$A$21:$D$21,'[4]Cálculo de Perdas'!$A$23:$D$23,'[4]Cálculo de Perdas'!$A$25:$D$38</definedName>
    <definedName name="Sim">[1]Efetivo!#REF!</definedName>
    <definedName name="teste">[5]Plan1!$C$10</definedName>
    <definedName name="tributaçao">#REF!</definedName>
    <definedName name="Tributação">#REF!</definedName>
    <definedName name="USINA">#REF!</definedName>
    <definedName name="USTO">#REF!</definedName>
    <definedName name="Val_Desc">#REF!</definedName>
    <definedName name="Val_Serv">#REF!</definedName>
    <definedName name="VALOR_CE">#REF!</definedName>
    <definedName name="VALOR_CP">#REF!</definedName>
    <definedName name="VALOR_FC138">#REF!</definedName>
    <definedName name="VALOR_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7" l="1"/>
  <c r="B76" i="7"/>
  <c r="J77" i="7" s="1"/>
  <c r="J80" i="7" s="1"/>
  <c r="J78" i="7"/>
  <c r="D45" i="7"/>
  <c r="E60" i="7"/>
  <c r="D6" i="8"/>
  <c r="I4" i="10"/>
  <c r="H24" i="11"/>
  <c r="G24" i="11"/>
  <c r="B81" i="7"/>
  <c r="F52" i="7"/>
  <c r="F51" i="7"/>
  <c r="C45" i="7"/>
  <c r="C44" i="7"/>
  <c r="C41" i="7"/>
  <c r="C40" i="7"/>
  <c r="C37" i="7"/>
  <c r="C36" i="7"/>
  <c r="C79" i="4"/>
  <c r="H4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5" i="11"/>
  <c r="H5" i="11"/>
  <c r="C82" i="3"/>
  <c r="C58" i="3"/>
  <c r="C62" i="3"/>
  <c r="C59" i="3"/>
  <c r="B12" i="15"/>
  <c r="E29" i="3"/>
  <c r="C123" i="3" l="1"/>
  <c r="E13" i="15"/>
  <c r="E12" i="15"/>
  <c r="D52" i="3"/>
  <c r="I51" i="10"/>
  <c r="I14" i="14"/>
  <c r="I22" i="14"/>
  <c r="I30" i="14"/>
  <c r="I38" i="14"/>
  <c r="I46" i="14"/>
  <c r="I54" i="14"/>
  <c r="I62" i="14"/>
  <c r="H70" i="14"/>
  <c r="H78" i="14"/>
  <c r="C78" i="14"/>
  <c r="C70" i="14"/>
  <c r="D62" i="14"/>
  <c r="D54" i="14"/>
  <c r="D46" i="14"/>
  <c r="D38" i="14"/>
  <c r="D30" i="14"/>
  <c r="D22" i="14"/>
  <c r="D14" i="14"/>
  <c r="I50" i="10"/>
  <c r="H17" i="11"/>
  <c r="H16" i="11"/>
  <c r="C83" i="4"/>
  <c r="C82" i="4"/>
  <c r="C80" i="4"/>
  <c r="C79" i="3"/>
  <c r="C59" i="4"/>
  <c r="D53" i="4"/>
  <c r="D45" i="4"/>
  <c r="D44" i="3"/>
  <c r="B13" i="15" l="1"/>
  <c r="C36" i="3" l="1"/>
  <c r="D86" i="7"/>
  <c r="F86" i="7" s="1"/>
  <c r="H18" i="11"/>
  <c r="H25" i="11"/>
  <c r="H6" i="11"/>
  <c r="H8" i="11"/>
  <c r="H9" i="11"/>
  <c r="H10" i="11"/>
  <c r="H12" i="11"/>
  <c r="H13" i="11"/>
  <c r="H14" i="11"/>
  <c r="H19" i="11"/>
  <c r="H20" i="11"/>
  <c r="H21" i="11"/>
  <c r="H22" i="11"/>
  <c r="H23" i="11"/>
  <c r="H7" i="11"/>
  <c r="H11" i="11"/>
  <c r="H15" i="11"/>
  <c r="I46" i="10"/>
  <c r="I49" i="10"/>
  <c r="I48" i="10"/>
  <c r="I47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H26" i="11" l="1"/>
  <c r="H27" i="11"/>
  <c r="D27" i="8"/>
  <c r="D4" i="8"/>
  <c r="C113" i="4"/>
  <c r="C60" i="4"/>
  <c r="D69" i="7" l="1"/>
  <c r="D12" i="8"/>
  <c r="D18" i="8" s="1"/>
  <c r="D13" i="8"/>
  <c r="D25" i="8"/>
  <c r="D22" i="8"/>
  <c r="D17" i="8"/>
  <c r="B10" i="8"/>
  <c r="D15" i="8"/>
  <c r="D9" i="8"/>
  <c r="D8" i="8"/>
  <c r="D10" i="8"/>
  <c r="C112" i="3" l="1"/>
  <c r="B25" i="8" l="1"/>
  <c r="B18" i="8"/>
  <c r="D87" i="7" l="1"/>
  <c r="F87" i="7" s="1"/>
  <c r="D82" i="7"/>
  <c r="F82" i="7" s="1"/>
  <c r="D81" i="7"/>
  <c r="F81" i="7" s="1"/>
  <c r="C136" i="4"/>
  <c r="C124" i="4"/>
  <c r="C146" i="4" s="1"/>
  <c r="C78" i="3"/>
  <c r="C99" i="4"/>
  <c r="C112" i="4" s="1"/>
  <c r="C114" i="4" s="1"/>
  <c r="C145" i="4" s="1"/>
  <c r="D46" i="4"/>
  <c r="D47" i="4"/>
  <c r="D48" i="4"/>
  <c r="D49" i="4"/>
  <c r="D50" i="4"/>
  <c r="D51" i="4"/>
  <c r="D52" i="4"/>
  <c r="C53" i="4"/>
  <c r="C135" i="3"/>
  <c r="C98" i="3"/>
  <c r="C111" i="3" s="1"/>
  <c r="C52" i="3"/>
  <c r="C81" i="3" s="1"/>
  <c r="C29" i="3"/>
  <c r="D46" i="3"/>
  <c r="D45" i="3"/>
  <c r="D47" i="3"/>
  <c r="D48" i="3"/>
  <c r="D49" i="3"/>
  <c r="D50" i="3"/>
  <c r="D51" i="3"/>
  <c r="C38" i="4"/>
  <c r="C37" i="3"/>
  <c r="C37" i="4"/>
  <c r="C29" i="4"/>
  <c r="C141" i="3"/>
  <c r="F83" i="7" l="1"/>
  <c r="C145" i="3"/>
  <c r="C113" i="3"/>
  <c r="C144" i="3" s="1"/>
  <c r="C69" i="3"/>
  <c r="C39" i="4"/>
  <c r="C69" i="4" s="1"/>
  <c r="C70" i="4"/>
  <c r="C142" i="4"/>
  <c r="C84" i="4"/>
  <c r="C63" i="4"/>
  <c r="C71" i="4" s="1"/>
  <c r="C70" i="3"/>
  <c r="C38" i="3"/>
  <c r="C68" i="3" s="1"/>
  <c r="D131" i="4" l="1"/>
  <c r="D130" i="4"/>
  <c r="C83" i="3"/>
  <c r="C72" i="4"/>
  <c r="C143" i="4" s="1"/>
  <c r="C144" i="4"/>
  <c r="C147" i="4" s="1"/>
  <c r="D133" i="4" s="1"/>
  <c r="C71" i="3"/>
  <c r="C142" i="3" l="1"/>
  <c r="C146" i="3" s="1"/>
  <c r="C148" i="3" s="1"/>
  <c r="E30" i="3" s="1"/>
  <c r="D129" i="3"/>
  <c r="D130" i="3" s="1"/>
  <c r="C143" i="3"/>
  <c r="D135" i="4"/>
  <c r="D134" i="4"/>
  <c r="D132" i="4"/>
  <c r="D134" i="3" l="1"/>
  <c r="D132" i="3"/>
  <c r="D131" i="3"/>
  <c r="D136" i="4"/>
  <c r="C148" i="4" s="1"/>
  <c r="C149" i="4" s="1"/>
  <c r="D4" i="7" l="1"/>
  <c r="C32" i="7" s="1"/>
  <c r="D32" i="7" s="1"/>
  <c r="C20" i="7" l="1"/>
  <c r="C11" i="7"/>
  <c r="D11" i="7" s="1"/>
  <c r="C15" i="7"/>
  <c r="D44" i="7" s="1"/>
  <c r="C24" i="7"/>
  <c r="D24" i="7" s="1"/>
  <c r="G51" i="7" l="1"/>
  <c r="D36" i="7"/>
  <c r="D40" i="7"/>
  <c r="D15" i="7"/>
  <c r="D20" i="7"/>
  <c r="D133" i="3" l="1"/>
  <c r="D135" i="3" s="1"/>
  <c r="D5" i="7"/>
  <c r="C33" i="7" s="1"/>
  <c r="D33" i="7" l="1"/>
  <c r="D34" i="7" s="1"/>
  <c r="C64" i="7" s="1"/>
  <c r="E64" i="7" s="1"/>
  <c r="C21" i="7"/>
  <c r="C12" i="7"/>
  <c r="D12" i="7" s="1"/>
  <c r="D13" i="7" s="1"/>
  <c r="C57" i="7" s="1"/>
  <c r="C25" i="7"/>
  <c r="D25" i="7" s="1"/>
  <c r="D26" i="7" s="1"/>
  <c r="C60" i="7" s="1"/>
  <c r="C16" i="7"/>
  <c r="D46" i="7" l="1"/>
  <c r="D37" i="7"/>
  <c r="G52" i="7"/>
  <c r="G53" i="7" s="1"/>
  <c r="C71" i="7" l="1"/>
  <c r="E71" i="7" s="1"/>
  <c r="E72" i="7" s="1"/>
  <c r="D21" i="7"/>
  <c r="D22" i="7" s="1"/>
  <c r="C59" i="7" s="1"/>
  <c r="D41" i="7"/>
  <c r="D42" i="7" s="1"/>
  <c r="D38" i="7"/>
  <c r="C65" i="7" s="1"/>
  <c r="E65" i="7" s="1"/>
  <c r="D16" i="7"/>
  <c r="D17" i="7" s="1"/>
  <c r="C58" i="7" s="1"/>
  <c r="E58" i="7" s="1"/>
  <c r="E57" i="7"/>
  <c r="C67" i="7" l="1"/>
  <c r="E67" i="7" s="1"/>
  <c r="C66" i="7"/>
  <c r="E66" i="7" s="1"/>
  <c r="E59" i="7"/>
  <c r="E61" i="7" s="1"/>
  <c r="E68" i="7" l="1"/>
  <c r="E78" i="7" l="1"/>
  <c r="B78" i="7"/>
</calcChain>
</file>

<file path=xl/sharedStrings.xml><?xml version="1.0" encoding="utf-8"?>
<sst xmlns="http://schemas.openxmlformats.org/spreadsheetml/2006/main" count="1042" uniqueCount="393">
  <si>
    <t>Adicional Noturno</t>
  </si>
  <si>
    <t>Total</t>
  </si>
  <si>
    <t>SEBRAE</t>
  </si>
  <si>
    <t>INCRA</t>
  </si>
  <si>
    <t>FGTS</t>
  </si>
  <si>
    <t>TOTAL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</si>
  <si>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</si>
  <si>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</si>
  <si>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</si>
  <si>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</si>
  <si>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</si>
  <si>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</si>
  <si>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</si>
  <si>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</si>
  <si>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</si>
  <si>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</si>
  <si>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</si>
  <si>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</si>
  <si>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</si>
  <si>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</si>
  <si>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</si>
  <si>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</si>
  <si>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</si>
  <si>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</si>
  <si>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</si>
  <si>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</si>
  <si>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</si>
  <si>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</si>
  <si>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</si>
  <si>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</si>
  <si>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</si>
  <si>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</si>
  <si>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</si>
  <si>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</si>
  <si>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</si>
  <si>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</si>
  <si>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</si>
  <si>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</si>
  <si>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</si>
  <si>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</si>
  <si>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</si>
  <si>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</si>
  <si>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</si>
  <si>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</si>
  <si>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</si>
  <si>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</si>
  <si>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</si>
  <si>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</si>
  <si>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</si>
  <si>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</si>
  <si>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</si>
  <si>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</si>
  <si>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</si>
  <si>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</si>
  <si>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</si>
  <si>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</si>
  <si>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</si>
  <si>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</si>
  <si>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</si>
  <si>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</si>
  <si>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</si>
  <si>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</si>
  <si>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</si>
  <si>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</si>
  <si>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</si>
  <si>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</si>
  <si>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</si>
  <si>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</si>
  <si>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</si>
  <si>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</si>
  <si>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</si>
  <si>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</si>
  <si>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C.2. Tributos Estaduais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</si>
  <si>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</si>
  <si>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</si>
  <si>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</si>
  <si>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</si>
  <si>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</si>
  <si>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</si>
  <si>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</si>
  <si>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Com ajustes após publicação da Lei n° 13.467, de 2017.</t>
  </si>
  <si>
    <t>Intervalo para repouso e alimentação</t>
  </si>
  <si>
    <t>PLANILHA DE CUSTOS E FORMAÇÃO DE PREÇOS - SUDAM</t>
  </si>
  <si>
    <t>DISCRIMINAÇÃO DOS SERVIÇOS (DADOS REFERENTES À CONTRATAÇÃO)</t>
  </si>
  <si>
    <t>Data de apresentação da proposta (dia/mês/ano):</t>
  </si>
  <si>
    <t>Município/UF:</t>
  </si>
  <si>
    <t>Belém/PA</t>
  </si>
  <si>
    <t>Ano do Acordo, Convenção ou Dissídio Coletivo:</t>
  </si>
  <si>
    <t>Número de meses de execução contratual:</t>
  </si>
  <si>
    <t>IDENTIFICAÇÃO DO SERVIÇO</t>
  </si>
  <si>
    <t>Tipo de Serviço</t>
  </si>
  <si>
    <t>Unidade de Medida</t>
  </si>
  <si>
    <t>Quantidade total a contratar</t>
  </si>
  <si>
    <t>Posto</t>
  </si>
  <si>
    <t>Servente de limpeza em jornada semanal de 44h</t>
  </si>
  <si>
    <t>Encarregado de limpeza em jornada semanal de 44h</t>
  </si>
  <si>
    <t>Férias e Adicional de Férias (8,33%+2,78%=11,11%) x Remuneração)</t>
  </si>
  <si>
    <t>C.1. Tributos Federais (PIS=0,65% / COFINS=3%)</t>
  </si>
  <si>
    <t>C.3. Tributos Municipais (ISS=5%)</t>
  </si>
  <si>
    <t xml:space="preserve"> ENCARREGADO</t>
  </si>
  <si>
    <t xml:space="preserve"> SERVENTE</t>
  </si>
  <si>
    <t>ÁREA INTERNA</t>
  </si>
  <si>
    <t>MÃO-DE-OBRA / TIPO DE ÁREA</t>
  </si>
  <si>
    <t>(1 X 2)</t>
  </si>
  <si>
    <t>SUB-TOTAL</t>
  </si>
  <si>
    <t>1/1200</t>
  </si>
  <si>
    <t>Sub-Total 4</t>
  </si>
  <si>
    <t>Sub-Total 5</t>
  </si>
  <si>
    <t>ÁREA  EXTERNA</t>
  </si>
  <si>
    <t>Sub-Total 6</t>
  </si>
  <si>
    <t>Sub-Total 7</t>
  </si>
  <si>
    <t>ESQUADRIA EXTERNA - FACE INTERNA/EXTERNA</t>
  </si>
  <si>
    <t>JORNADA DE TRABALHO NO MÊS (HORAS)</t>
  </si>
  <si>
    <t>Sub-Total 8</t>
  </si>
  <si>
    <t>TIPO DE ÁREA</t>
  </si>
  <si>
    <t>Área int. - áreas com espaços livres - saguão, hall e salão</t>
  </si>
  <si>
    <t>Total 1</t>
  </si>
  <si>
    <t>Área ext. - Varrição de passeios e arruamentos</t>
  </si>
  <si>
    <t>sub-total 6</t>
  </si>
  <si>
    <t>Total 2</t>
  </si>
  <si>
    <t>Esquadrias externas - Face interna</t>
  </si>
  <si>
    <t>sub-total 8</t>
  </si>
  <si>
    <t>Total 3</t>
  </si>
  <si>
    <t>VALOR ANUAL</t>
  </si>
  <si>
    <t>DESCRIÇÃO</t>
  </si>
  <si>
    <t>QUANTIDADE DE MESES</t>
  </si>
  <si>
    <t>VALOR POR MÊS</t>
  </si>
  <si>
    <t>QUANTIDADE FUNCIONARIOS</t>
  </si>
  <si>
    <t>VALOR POR FUNCIONARIO</t>
  </si>
  <si>
    <t>TOTAL MATERIAL/EQUIPAMENTOS POR FUNCIONARIO, CONFORME CAMPO PRÓPRIO DA PLANILHA</t>
  </si>
  <si>
    <t>UNIFORME SERVENTE</t>
  </si>
  <si>
    <t>UNIFORME ENCARREGADO</t>
  </si>
  <si>
    <t>Pisos acarpetados</t>
  </si>
  <si>
    <t>CÁLCULO COM PRODUTIVIDADE - SERVIÇO DE HIGIENE, LIMPEZA E CONSERVAÇÃO</t>
  </si>
  <si>
    <t>PREÇO MENSAL UNITÁRIO POR M²</t>
  </si>
  <si>
    <t xml:space="preserve"> 1/(19x1500)</t>
  </si>
  <si>
    <t>1/1500</t>
  </si>
  <si>
    <t>Áreas Internas</t>
  </si>
  <si>
    <t>Áreas Externas</t>
  </si>
  <si>
    <t>QUANT MÃO DE OBRA</t>
  </si>
  <si>
    <t>METRAGEM QUADRADA</t>
  </si>
  <si>
    <t>SOMA</t>
  </si>
  <si>
    <r>
      <t>800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</si>
  <si>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1.200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</si>
  <si>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360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</si>
  <si>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2.500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</si>
  <si>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1.500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</si>
  <si>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300 m</t>
    </r>
    <r>
      <rPr>
        <vertAlign val="superscript"/>
        <sz val="11"/>
        <color rgb="FF000000"/>
        <rFont val="Calibri"/>
        <family val="2"/>
        <scheme val="minor"/>
      </rPr>
      <t>2</t>
    </r>
  </si>
  <si>
    <t>Pisos frios</t>
  </si>
  <si>
    <t>Laboratórios</t>
  </si>
  <si>
    <t>Almoxarifados/galpões</t>
  </si>
  <si>
    <t>Oficinas</t>
  </si>
  <si>
    <t>Áreas com espaços livres - saguão, hall e salão</t>
  </si>
  <si>
    <t>Banheiros</t>
  </si>
  <si>
    <t>Pisos pavimentados adjacentes/con􀆡guos às edificações</t>
  </si>
  <si>
    <r>
      <t>9.000 m</t>
    </r>
    <r>
      <rPr>
        <vertAlign val="superscript"/>
        <sz val="11"/>
        <color rgb="FF000000"/>
        <rFont val="Calibri"/>
        <family val="2"/>
        <scheme val="minor"/>
      </rPr>
      <t>2</t>
    </r>
  </si>
  <si>
    <t>Varrição de passeios e arruamentos</t>
  </si>
  <si>
    <r>
      <t>2.700 m</t>
    </r>
    <r>
      <rPr>
        <vertAlign val="superscript"/>
        <sz val="11"/>
        <color rgb="FF000000"/>
        <rFont val="Calibri"/>
        <family val="2"/>
        <scheme val="minor"/>
      </rPr>
      <t>2</t>
    </r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</si>
  <si>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</si>
  <si>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</si>
  <si>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</si>
  <si>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</si>
  <si>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r>
      <t>100.000 m</t>
    </r>
    <r>
      <rPr>
        <vertAlign val="superscript"/>
        <sz val="11"/>
        <color rgb="FF000000"/>
        <rFont val="Calibri"/>
        <family val="2"/>
        <scheme val="minor"/>
      </rPr>
      <t>2</t>
    </r>
  </si>
  <si>
    <t>Esquadrias Externas</t>
  </si>
  <si>
    <r>
      <t>160 m</t>
    </r>
    <r>
      <rPr>
        <vertAlign val="superscript"/>
        <sz val="11"/>
        <color rgb="FF000000"/>
        <rFont val="Calibri"/>
        <family val="2"/>
        <scheme val="minor"/>
      </rPr>
      <t>2</t>
    </r>
  </si>
  <si>
    <t>face externa com exposição a situação de risco</t>
  </si>
  <si>
    <t>face externa sem exposição a situação de risco</t>
  </si>
  <si>
    <t>face interna</t>
  </si>
  <si>
    <t>Fachadas Envidraçadas</t>
  </si>
  <si>
    <t>Áreas Hospitalares e assemelhadas</t>
  </si>
  <si>
    <r>
      <t>380 m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</si>
  <si>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450 m</t>
    </r>
    <r>
      <rPr>
        <vertAlign val="superscript"/>
        <sz val="11"/>
        <color rgb="FF000000"/>
        <rFont val="Calibri"/>
        <family val="2"/>
        <scheme val="minor"/>
      </rPr>
      <t>2</t>
    </r>
  </si>
  <si>
    <t>2.000 m2</t>
  </si>
  <si>
    <t>1/2500</t>
  </si>
  <si>
    <t xml:space="preserve"> 1/(19x9000)</t>
  </si>
  <si>
    <t>1/9000</t>
  </si>
  <si>
    <t>1/2700</t>
  </si>
  <si>
    <t xml:space="preserve"> 1/(19x300)</t>
  </si>
  <si>
    <t>1/300</t>
  </si>
  <si>
    <t>PRODUTIVIDADE (1/M²)</t>
  </si>
  <si>
    <t>1/(19x1200)</t>
  </si>
  <si>
    <t>1/(19x2500)</t>
  </si>
  <si>
    <t>PREÇO MENSAL UNITÁRIO (R$/M²) (A)</t>
  </si>
  <si>
    <t>ÁREA (M²) (B)</t>
  </si>
  <si>
    <t>SUB-TOTAL (R$) (AXB)</t>
  </si>
  <si>
    <t>PREÇO MENSAL UNITÁRIO (R$/M²) ( A)</t>
  </si>
  <si>
    <t>VALOR DOS SERVIÇOS</t>
  </si>
  <si>
    <t>SUPERINTENDÊNCIA DO DESENVOLVIMENTO DA AMAZÔNIA
DIRETORIA DE ADMINISTRAÇÃO
COORDENAÇÃO GERAL DE PESSOAL, ADMINISTRAÇÃO E FINANÇAS
COORDENAÇÃO DE GESTÃO ADMINISTRATIVA</t>
  </si>
  <si>
    <t>INSUMOS LIMPEZA MENSAL</t>
  </si>
  <si>
    <t>FREQUÊNCIA NO MÊS (HORAS)</t>
  </si>
  <si>
    <t>(1x2x3)</t>
  </si>
  <si>
    <t>PREÇO HOMEM-MÊS (R$)</t>
  </si>
  <si>
    <t>(4x5) subtotal (R$/m²)</t>
  </si>
  <si>
    <t>ENCARREGADO / Pisos Frios</t>
  </si>
  <si>
    <t>ENCARREGADO / Pisos pavimentados adjacentes/contíguos às edificações</t>
  </si>
  <si>
    <t>ENCARREGADO / Varrição de passeios e arruamentos</t>
  </si>
  <si>
    <t>ENCARREGADO / Face interna</t>
  </si>
  <si>
    <t>SERVENTE / Pisos Frios</t>
  </si>
  <si>
    <t>SERVENTE / Pisos pavimentados adjacentes/contíguos às edificações</t>
  </si>
  <si>
    <t>SERVENTE / Varrição de passeios e arruamentos</t>
  </si>
  <si>
    <t>SERVENTE / Face interna</t>
  </si>
  <si>
    <t>PRODUTIVIDADE
(1/M²)</t>
  </si>
  <si>
    <t>PREÇO - HOMEM - MÊS
(R$)</t>
  </si>
  <si>
    <t>PRODUTIVIDADE 
(1/M²)</t>
  </si>
  <si>
    <t>ENCARREGADO / Almoxarifados/ Galpões</t>
  </si>
  <si>
    <t>SERVENTE / Almoxarifados / Galpões</t>
  </si>
  <si>
    <t>Área int. - Almoxarifado / Galpões</t>
  </si>
  <si>
    <t>ENCARREGADO / Áreas com espaços livres - saguão, hall e salão</t>
  </si>
  <si>
    <t>SERVENTE / Áreas com espaços livres - saguão, hall e salão</t>
  </si>
  <si>
    <t>ENCARREGADO / Pátios e áreas verdes com média frequência</t>
  </si>
  <si>
    <t>SERVENTE / Pátios e áreas verdes com média frequência</t>
  </si>
  <si>
    <t>ENCARREGADO / Coleta de detritos em pátios e áreas verdes com frequência diária</t>
  </si>
  <si>
    <t>SERVENTE / Coleta de detritos em pátios e áreas verdes com frequência diária</t>
  </si>
  <si>
    <t xml:space="preserve"> 1/(19x2000)</t>
  </si>
  <si>
    <t>1/2000</t>
  </si>
  <si>
    <t>1/100000</t>
  </si>
  <si>
    <t xml:space="preserve"> 1/(19x2700)</t>
  </si>
  <si>
    <t xml:space="preserve"> 1/(19x100000)</t>
  </si>
  <si>
    <t>1/(19x380) = 0,000138504</t>
  </si>
  <si>
    <t>1/191,4 = 0,005224</t>
  </si>
  <si>
    <t>1/380 = 0,002631579</t>
  </si>
  <si>
    <t>Sub-Total 3</t>
  </si>
  <si>
    <t>Sub-Total 1</t>
  </si>
  <si>
    <t>Sub-Total 2</t>
  </si>
  <si>
    <t>sub-total 3</t>
  </si>
  <si>
    <t>sub-total 4</t>
  </si>
  <si>
    <t>sub-total 5</t>
  </si>
  <si>
    <t>ENCARREGADO / Banheiros</t>
  </si>
  <si>
    <t>SERVENTE / Banheiros</t>
  </si>
  <si>
    <t>Área int.- Banheiros</t>
  </si>
  <si>
    <t>Área int. - Pisos frios</t>
  </si>
  <si>
    <t>sub-total 1</t>
  </si>
  <si>
    <t>sub-total 2</t>
  </si>
  <si>
    <t>Sub-Total 9</t>
  </si>
  <si>
    <t>Área ext. - Pisos pavimentados adjacentes/contíguos às edificações</t>
  </si>
  <si>
    <t>sub-total 7</t>
  </si>
  <si>
    <t>Área ext. - Coleta de detritos em pátios e áreas verdes com frequência diária</t>
  </si>
  <si>
    <t>Área ext. - Pátios e áreas verdes com média frequência</t>
  </si>
  <si>
    <t>EQUIPAMENTOS LIMPEZA MENSAL</t>
  </si>
  <si>
    <t>VALOR MENSAL LIMPEZA</t>
  </si>
  <si>
    <t>VALOR TOTAL DA CONTRATAÇÃO</t>
  </si>
  <si>
    <t>PROCESSO: XXX</t>
  </si>
  <si>
    <t>PREGÃO ELETRÔNICO: XXX</t>
  </si>
  <si>
    <t>ESTIMATIVA DE FORNECIMENTO DE INSUMOS / MATERIAL DE LIMPEZA E ACESSÓRIOS</t>
  </si>
  <si>
    <t>Nº</t>
  </si>
  <si>
    <t>UND</t>
  </si>
  <si>
    <t>CATEG</t>
  </si>
  <si>
    <t>MARCA / REFERÊNCIA</t>
  </si>
  <si>
    <t>QUANTID</t>
  </si>
  <si>
    <t>FREQUÊNCIA</t>
  </si>
  <si>
    <t>VALOR UNITÁRIO</t>
  </si>
  <si>
    <t>VALOR MENSAL</t>
  </si>
  <si>
    <t>ALCOOL ETILICO LIQ. 70º INPM C/500 ML - COM REGISTRO ANVISA</t>
  </si>
  <si>
    <t>UNIDADE</t>
  </si>
  <si>
    <t>MAT</t>
  </si>
  <si>
    <t>Itajá, Sol ou similar</t>
  </si>
  <si>
    <t>MENSAL</t>
  </si>
  <si>
    <t>ÁLCOOL 70 EM GEL 1L - COM REGISTRO ANVISA</t>
  </si>
  <si>
    <t>LITROS</t>
  </si>
  <si>
    <t>Asseptgel ou similar</t>
  </si>
  <si>
    <t>APARELHO ODORIZADOR CLICK SPRAY 50 ML AROMAS VARIADOS</t>
  </si>
  <si>
    <t>Glade ou similar</t>
  </si>
  <si>
    <t>CERA LÍQUIDA P/ PISO BRILHO INCOLOR 750 ML - COM REGISTRO ANVISA</t>
  </si>
  <si>
    <t>FRASCO</t>
  </si>
  <si>
    <t>Grand Prix ou similar</t>
  </si>
  <si>
    <t>DESINFETANTE SANITARIO EM PEDRA C/ 25 G - COM REGISTRO ANVISA</t>
  </si>
  <si>
    <t>DESINFETANTE AROMATIZADO - EMBALAG 5 LTS - COM REGISTRO ANVISA</t>
  </si>
  <si>
    <t>Lysoform, Ypê ou similar</t>
  </si>
  <si>
    <t>DETERGENTE LIQUIDO LAVA LOUÇAS AROMAS VARIADOS C 500 ML - COM REGISTRO ANVISA</t>
  </si>
  <si>
    <t>Limpol, Ypê ou similar</t>
  </si>
  <si>
    <t>DETERGENTE MULTI USO - 500 ML - COM REGISTRO ANVISA</t>
  </si>
  <si>
    <t>Veja, Ypê ou similar</t>
  </si>
  <si>
    <t>DETERGENTE CONCENTRADO - EMBALAGEM 5 LTS - COM REGISTRO ANVISA</t>
  </si>
  <si>
    <t>ÁGUA SANITÁRIA (PRONTO USO) - COM REGISTRO ANVISA</t>
  </si>
  <si>
    <t>Qboa ou similar</t>
  </si>
  <si>
    <t>INSETICIDA - COM REGISTRO ANVISA</t>
  </si>
  <si>
    <t>SBP ou similar</t>
  </si>
  <si>
    <t>LIMPA ALUMINIO C 500 ML - COM REGISTRO ANVISA</t>
  </si>
  <si>
    <t>Limpol ou similar</t>
  </si>
  <si>
    <t>LIMPA VIDROS TRADICIONAL 500 ML - COM REGISTRO ANVISA</t>
  </si>
  <si>
    <t>Veja ou similar</t>
  </si>
  <si>
    <t>LUSTRA MOVEIS 200 ML - COM REGISTRO ANVISA</t>
  </si>
  <si>
    <t>Poliflor ou similar</t>
  </si>
  <si>
    <t xml:space="preserve">ODORIZADOR AEROSSOL C 360 </t>
  </si>
  <si>
    <t>Bom Ar ou similar</t>
  </si>
  <si>
    <t>OLEO PARA MOVEIS 200 ML - COM REGISTRO ANVISA</t>
  </si>
  <si>
    <t>Óleo de Peroba ou similar</t>
  </si>
  <si>
    <t>PAPEL HIGIENICO 30 MTS -  FD COM 64 UNDS</t>
  </si>
  <si>
    <t>FARDO</t>
  </si>
  <si>
    <t>Neve ou similar</t>
  </si>
  <si>
    <t>PAPEL HIGIENICO 300 MTS - FD COM 8 UNDS</t>
  </si>
  <si>
    <t>Elite, Ripz ou similar</t>
  </si>
  <si>
    <t>PAPEL TOALHA EM ROLO - 64 ROLOS FD</t>
  </si>
  <si>
    <t>Scala, Snob ou similar</t>
  </si>
  <si>
    <t>PAPEL TOALHA INTERFOLHADO (1250 FOLHAS) - FARDO C/ 6 PCTS</t>
  </si>
  <si>
    <t>Nobre, Elite ou similar</t>
  </si>
  <si>
    <t>SABAO EM BARRA C/1000G - COM REGISTRO ANVISA</t>
  </si>
  <si>
    <t>Ypê ou similar</t>
  </si>
  <si>
    <t>SABONETE LÍQUIDO P/ MÃOS - EMBALAG 5 LTS - COM REGISTRO ANVISA</t>
  </si>
  <si>
    <t>Fiorucci, Lux ou similar</t>
  </si>
  <si>
    <t>SAPONACEO CREMOSO 300ML - COM REGISTRO ANVISA</t>
  </si>
  <si>
    <t>Bombril, Ypê ou similar</t>
  </si>
  <si>
    <t>DISCO LIMPADOR BRANCO C 35</t>
  </si>
  <si>
    <t>DISCO LIMPADOR PRETO C 35</t>
  </si>
  <si>
    <t>ESCOVINHA OVAL DE NYLON BASE PLASTICA</t>
  </si>
  <si>
    <t>ESPONJA DUPLA FACE</t>
  </si>
  <si>
    <t>FIBRA VERDE LIMP. GERAL 102X260MM</t>
  </si>
  <si>
    <t xml:space="preserve">FLANELA BRANCA 29X49CM </t>
  </si>
  <si>
    <t>LUVA CANO CURTO LATEX FORR C/ PALMA ANT D. (TAM G)</t>
  </si>
  <si>
    <t>PAR</t>
  </si>
  <si>
    <t>EPI</t>
  </si>
  <si>
    <t>LUVA CANO CURTO LATEX FORR C/ PALMA ANT D. (TAM. M)</t>
  </si>
  <si>
    <t>LUVA CANO CURTO LATEX FORR C/ PALMA ANT D. (TAM. P)</t>
  </si>
  <si>
    <t>LUVA CANO LONGO LATEX (TAM G)</t>
  </si>
  <si>
    <t>LUVA CANO LONGO LATEX (TAM M)</t>
  </si>
  <si>
    <t>LUVA DE PANO PIGMENTADA</t>
  </si>
  <si>
    <t>MASCARA PFF1 S/VALVULA</t>
  </si>
  <si>
    <t>PANO DE CHÃO FLANELADO - M 45X75</t>
  </si>
  <si>
    <t>SACO DE LIXO DE 50 LTS PCTS C 5 UNDS PRETO</t>
  </si>
  <si>
    <t>SACO DE LIXO DE 100 LTS PCTS C 5 UNDS PRETO</t>
  </si>
  <si>
    <t>SACO DE LIXO DE 200 LTS PCTS C 5 UNDS PRETO</t>
  </si>
  <si>
    <t>SACO DE LIXO DE 30 LTS PCTS C 10 UNDS PRETO</t>
  </si>
  <si>
    <t>PULVERIZADOR PLASTICO CORES SORT 500ML</t>
  </si>
  <si>
    <t>TRIMESTRAL</t>
  </si>
  <si>
    <t>RODO PLASTICO  C/30 CM</t>
  </si>
  <si>
    <t>VASSOURINHA DE NYLON</t>
  </si>
  <si>
    <t>VASSOURA DE PIAÇAVA C/CABO</t>
  </si>
  <si>
    <t xml:space="preserve">CAPA PARA CHUVA </t>
  </si>
  <si>
    <t>ANUAL</t>
  </si>
  <si>
    <t xml:space="preserve">ÓCULOS DE PROTEÇÃO </t>
  </si>
  <si>
    <t>VALOR TOTAL MENSAL</t>
  </si>
  <si>
    <t>ESTIMATIVA DE FORNECIMENTO DE EQUIPAMENTOS / ACESSÓRIOS PARA O SERVIÇO DE LIMPEZA</t>
  </si>
  <si>
    <t>VALOR TOTAL</t>
  </si>
  <si>
    <t>ASPIRADOR DE HIDRO PÓ</t>
  </si>
  <si>
    <t>5 ANOS</t>
  </si>
  <si>
    <t>CARRO COLETOR DE LIXO 1000 LITROS</t>
  </si>
  <si>
    <t xml:space="preserve">CARRO DE MÃO </t>
  </si>
  <si>
    <t>CARRO PARA TRANSPORTE DE ÁGUA MINERAL COM DUAS RODAS</t>
  </si>
  <si>
    <t xml:space="preserve">ENCERADEIRA INDUSTRIAL C 35 </t>
  </si>
  <si>
    <t>ENXADA C/ CABO</t>
  </si>
  <si>
    <t>ESCADA DE ALUMINIO 5 DEGRAUS</t>
  </si>
  <si>
    <t>EXTENSÃO ELETRICA 20 METROS</t>
  </si>
  <si>
    <t>LAVADORA ALTA PRESSÃO ( MINI JET)</t>
  </si>
  <si>
    <t>TERÇADO</t>
  </si>
  <si>
    <t>VASSOURA DE JARDIM (RASTELO)</t>
  </si>
  <si>
    <t>VASCULHO COM CABO DE MADEIRA</t>
  </si>
  <si>
    <t>LAVADORA DE PISO - COM EXTENSÃO ELÉTRICA</t>
  </si>
  <si>
    <t>CHAPÉU PARA PROTEÇÃO SOLAR, ANTI UV (TIPO CANAVIEIRO)</t>
  </si>
  <si>
    <t>KIT LIMPA VIDRO 40 CTS CONJUGADO</t>
  </si>
  <si>
    <t>SEMESTRAL</t>
  </si>
  <si>
    <t>PÁ COM CABO</t>
  </si>
  <si>
    <t xml:space="preserve">PÁ DE LIXO COM CABO </t>
  </si>
  <si>
    <t>SUPORTE PARA ALCOOL EM GEL 500 ML</t>
  </si>
  <si>
    <t>SUPORTE PARA PAPEL TOALHA INTERFOLIADO</t>
  </si>
  <si>
    <t>SUPORTE PARA PAPEL HIGIÊNICO</t>
  </si>
  <si>
    <t>UNID</t>
  </si>
  <si>
    <t>FATOR K</t>
  </si>
  <si>
    <t>ANÁLISE DOS PREÇOS APRESENTADOS NAS PROPOSTAS RECEBIDAS</t>
  </si>
  <si>
    <t>SERVIÇO DE HIGIENE E LIMPEZA SUDAM - 2022</t>
  </si>
  <si>
    <t>ITEM DA PLANILHA</t>
  </si>
  <si>
    <t xml:space="preserve">SALÁRIO (CCT): </t>
  </si>
  <si>
    <t>CARGO:</t>
  </si>
  <si>
    <t>SERVENTE</t>
  </si>
  <si>
    <t>Benefício (CCT - CLÁUSULA QUINQUAGÉSIMA - AUXÍLIO PLANO ASSISTÊNCIA E CUIDADO PESSOAL)</t>
  </si>
  <si>
    <t>MÓDULO NA PLANILHA</t>
  </si>
  <si>
    <t>MÉTODO MATEMÁTICO APLICADO PARA A DEFINIÇÃO DO VALOR ESTIMADO: MÉDIA DOS VALORES</t>
  </si>
  <si>
    <t>CÁLCULO DO CUSTO DE PROFISSIONAL SUBSTITUTO DAS FÉRIAS</t>
  </si>
  <si>
    <t>Módulo 5 - Insumos Diversos (Uniforme)</t>
  </si>
  <si>
    <t>DIVISÃO POR 12 MESES</t>
  </si>
  <si>
    <t xml:space="preserve"> Custo de Reposição do Profissional Ausente - B - Ausências Legais</t>
  </si>
  <si>
    <t>Férias (14,39% da remuneração)</t>
  </si>
  <si>
    <t xml:space="preserve"> Custo de Reposição do Profissional Ausente - C - Licença-Paternidade</t>
  </si>
  <si>
    <t xml:space="preserve"> Custo de Reposição do Profissional Ausente - D - Ausência por acidente de trabalho</t>
  </si>
  <si>
    <t xml:space="preserve"> Custo de Reposição do Profissional Ausente - E - Afastamento Maternidade</t>
  </si>
  <si>
    <t>Insumos Diversos - A - Uniformes</t>
  </si>
  <si>
    <t>ENCARREGADO</t>
  </si>
  <si>
    <t>Transporte (44*4 = R$ 158,40 - 6%*(R$ 1.320,87)</t>
  </si>
  <si>
    <t>Transporte (44*4 = R$ 158,40 - 6%*(R$ 1.962,80)</t>
  </si>
  <si>
    <t>Outros (especificar) - (CCT - CLÁUSULA DÉCIMA SÉTIMA - SEGURO DE VIDA EM GRUPO COM ASSISTÊNCIA FUNERAL E FAMILIAR)</t>
  </si>
  <si>
    <t>Submódulo 2.3 - Benefícios Mensais e Diários- Benefício (C - CCT - CLÁUSULA 54ª)</t>
  </si>
  <si>
    <t>Submódulo 2.3 - Benefícios Mensais e Diários - Outros (especificar) - (D - CCT - CLÁUSULA 17ª - - SEGURO DE VIDA C/ ASSISTÊNCIA FUNERAL E FAMILIAR)</t>
  </si>
  <si>
    <t>30/08/2022 A 30/08/2023</t>
  </si>
  <si>
    <t>MENSAL POR FUNCIONÁRIO</t>
  </si>
  <si>
    <t>ENCARREGADO+SERVENTE</t>
  </si>
  <si>
    <t>MENOR VALOR OBTIDO:</t>
  </si>
  <si>
    <r>
      <t xml:space="preserve">VALOR MENSAL POS FUNCIONÁRIO: R$ 630,07 </t>
    </r>
    <r>
      <rPr>
        <b/>
        <sz val="10"/>
        <color theme="1"/>
        <rFont val="Calibri"/>
        <family val="2"/>
      </rPr>
      <t>÷ 19 (Serventes)</t>
    </r>
  </si>
  <si>
    <t>Auxílio-Refeição/Alimentação (CCT - CLÁUSULA DÉCIMA QUINTA - TICKET ALIMENTAÇÃO/ CARTÃO REFEIÇÃO)</t>
  </si>
  <si>
    <t>Férias (14,25% da remuneração)</t>
  </si>
  <si>
    <t>PACOTE</t>
  </si>
  <si>
    <t>PREÇO 1:</t>
  </si>
  <si>
    <t>PREÇO 2:</t>
  </si>
  <si>
    <r>
      <t xml:space="preserve">VALOR MENSAL POR FUNCIONÁRIO: R$ 17.548,40 </t>
    </r>
    <r>
      <rPr>
        <b/>
        <sz val="10"/>
        <color theme="1"/>
        <rFont val="Calibri"/>
        <family val="2"/>
      </rPr>
      <t>÷ 19 (Serventes)</t>
    </r>
  </si>
  <si>
    <t>PRODUTIVIDADE MENSAL CONFORME IN 05/2017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</si>
</sst>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* #,##0.00_);_(* \(#,##0.00\);_(* \-??_);_(@_)"/>
    <numFmt numFmtId="167" formatCode="_-&quot;R$ &quot;* #,##0.00_-;&quot;-R$ &quot;* #,##0.00_-;_-&quot;R$ &quot;* \-??_-;_-@_-"/>
    <numFmt numFmtId="168" formatCode="&quot;R$ &quot;#,##0.00"/>
    <numFmt numFmtId="169" formatCode="_(&quot;R$ &quot;* #,##0.00_);_(&quot;R$ &quot;* \(#,##0.00\);_(&quot;R$ &quot;* &quot;-&quot;??_);_(@_)"/>
    <numFmt numFmtId="170" formatCode="_(* #,##0.00_);_(* \(#,##0.00\);_(* &quot;-&quot;??_);_(@_)"/>
    <numFmt numFmtId="171" formatCode="&quot;R$&quot;\ #,##0.00"/>
    <numFmt numFmtId="172" formatCode="_([$R$ -416]* #,##0.00_);_([$R$ -416]* \(#,##0.00\);_([$R$ -416]* &quot;-&quot;??_);_(@_)"/>
    <numFmt numFmtId="173" formatCode="0.00000000"/>
    <numFmt numFmtId="174" formatCode="0.0"/>
    <numFmt numFmtId="175" formatCode="#,##0.00_ ;\-#,##0.00\ "/>
    <numFmt numFmtId="176" formatCode="&quot;R$ &quot;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color theme="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rial Narrow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theme="1"/>
      <name val="Arial"/>
      <family val="2"/>
    </font>
    <font>
      <vertAlign val="superscript"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1"/>
      <color theme="1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dashed">
        <color indexed="64"/>
      </right>
      <top style="dashed">
        <color indexed="64"/>
      </top>
      <bottom style="double">
        <color indexed="64"/>
      </bottom>
      <diagonal/>
    </border>
  </borders>
  <cellStyleXfs count="59">
    <xf numFmtId="0" fontId="0" fillId="0" borderId="0"/>
    <xf numFmtId="9" fontId="1" fillId="0" borderId="0" applyFont="0" applyFill="0" applyBorder="0" applyAlignment="0" applyProtection="0"/>
    <xf numFmtId="166" fontId="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1" applyNumberFormat="0" applyAlignment="0" applyProtection="0"/>
    <xf numFmtId="0" fontId="13" fillId="7" borderId="12" applyNumberFormat="0" applyAlignment="0" applyProtection="0"/>
    <xf numFmtId="0" fontId="14" fillId="7" borderId="11" applyNumberFormat="0" applyAlignment="0" applyProtection="0"/>
    <xf numFmtId="0" fontId="15" fillId="0" borderId="13" applyNumberFormat="0" applyFill="0" applyAlignment="0" applyProtection="0"/>
    <xf numFmtId="0" fontId="16" fillId="8" borderId="14" applyNumberFormat="0" applyAlignment="0" applyProtection="0"/>
    <xf numFmtId="0" fontId="17" fillId="0" borderId="0" applyNumberFormat="0" applyFill="0" applyBorder="0" applyAlignment="0" applyProtection="0"/>
    <xf numFmtId="0" fontId="1" fillId="9" borderId="15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7" fillId="0" borderId="0" applyFill="0" applyBorder="0" applyAlignment="0" applyProtection="0"/>
    <xf numFmtId="0" fontId="27" fillId="0" borderId="0"/>
    <xf numFmtId="167" fontId="27" fillId="0" borderId="0" applyFill="0" applyBorder="0" applyAlignment="0" applyProtection="0"/>
    <xf numFmtId="166" fontId="27" fillId="0" borderId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10" fontId="3" fillId="0" borderId="17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5" fillId="0" borderId="1" xfId="47" applyFont="1" applyFill="1" applyBorder="1" applyAlignment="1">
      <alignment horizontal="center" vertical="center" wrapText="1"/>
    </xf>
    <xf numFmtId="0" fontId="25" fillId="0" borderId="0" xfId="47" applyFont="1" applyFill="1" applyBorder="1" applyAlignment="1">
      <alignment vertical="center" wrapText="1"/>
    </xf>
    <xf numFmtId="0" fontId="26" fillId="0" borderId="0" xfId="47" applyFont="1" applyFill="1" applyBorder="1" applyAlignment="1">
      <alignment vertical="center"/>
    </xf>
    <xf numFmtId="0" fontId="3" fillId="0" borderId="0" xfId="0" applyFont="1" applyBorder="1"/>
    <xf numFmtId="14" fontId="25" fillId="0" borderId="0" xfId="47" applyNumberFormat="1" applyFont="1" applyFill="1" applyBorder="1" applyAlignment="1">
      <alignment vertical="center"/>
    </xf>
    <xf numFmtId="0" fontId="26" fillId="0" borderId="0" xfId="47" applyFont="1" applyFill="1" applyBorder="1" applyAlignment="1">
      <alignment vertical="center" wrapText="1"/>
    </xf>
    <xf numFmtId="0" fontId="25" fillId="0" borderId="0" xfId="47" applyFont="1" applyFill="1" applyBorder="1" applyAlignment="1">
      <alignment vertical="center"/>
    </xf>
    <xf numFmtId="0" fontId="3" fillId="0" borderId="0" xfId="0" applyFont="1" applyFill="1" applyBorder="1"/>
    <xf numFmtId="0" fontId="25" fillId="0" borderId="1" xfId="47" applyFont="1" applyFill="1" applyBorder="1" applyAlignment="1">
      <alignment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26" fillId="0" borderId="0" xfId="52" applyNumberFormat="1" applyFont="1" applyFill="1" applyBorder="1" applyAlignment="1" applyProtection="1">
      <alignment horizontal="center" vertical="center"/>
    </xf>
    <xf numFmtId="4" fontId="2" fillId="0" borderId="17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  <xf numFmtId="10" fontId="2" fillId="0" borderId="17" xfId="1" applyNumberFormat="1" applyFont="1" applyBorder="1" applyAlignment="1">
      <alignment horizontal="center" vertical="center" wrapText="1"/>
    </xf>
    <xf numFmtId="9" fontId="3" fillId="0" borderId="17" xfId="0" applyNumberFormat="1" applyFont="1" applyBorder="1" applyAlignment="1">
      <alignment horizontal="center" vertical="center" wrapText="1"/>
    </xf>
    <xf numFmtId="10" fontId="3" fillId="0" borderId="17" xfId="1" applyNumberFormat="1" applyFont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8" fillId="0" borderId="0" xfId="0" applyFont="1"/>
    <xf numFmtId="0" fontId="19" fillId="0" borderId="0" xfId="0" applyFont="1" applyAlignment="1">
      <alignment horizontal="center"/>
    </xf>
    <xf numFmtId="1" fontId="19" fillId="0" borderId="1" xfId="0" applyNumberFormat="1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19" fillId="37" borderId="1" xfId="0" applyNumberFormat="1" applyFont="1" applyFill="1" applyBorder="1" applyAlignment="1">
      <alignment horizontal="center"/>
    </xf>
    <xf numFmtId="0" fontId="19" fillId="38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" fontId="3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/>
    </xf>
    <xf numFmtId="0" fontId="19" fillId="37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7" borderId="1" xfId="0" applyFont="1" applyFill="1" applyBorder="1" applyAlignment="1">
      <alignment horizontal="center"/>
    </xf>
    <xf numFmtId="2" fontId="19" fillId="37" borderId="1" xfId="0" applyNumberFormat="1" applyFont="1" applyFill="1" applyBorder="1" applyAlignment="1">
      <alignment horizontal="center"/>
    </xf>
    <xf numFmtId="0" fontId="0" fillId="37" borderId="1" xfId="0" applyFill="1" applyBorder="1" applyAlignment="1">
      <alignment horizontal="left"/>
    </xf>
    <xf numFmtId="0" fontId="33" fillId="0" borderId="0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168" fontId="34" fillId="0" borderId="1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168" fontId="35" fillId="0" borderId="1" xfId="0" applyNumberFormat="1" applyFont="1" applyFill="1" applyBorder="1" applyAlignment="1">
      <alignment horizontal="center" vertical="center" wrapText="1"/>
    </xf>
    <xf numFmtId="168" fontId="35" fillId="0" borderId="0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168" fontId="35" fillId="0" borderId="1" xfId="56" applyNumberFormat="1" applyFont="1" applyFill="1" applyBorder="1" applyAlignment="1">
      <alignment horizontal="center" vertical="center" wrapText="1"/>
    </xf>
    <xf numFmtId="168" fontId="35" fillId="0" borderId="0" xfId="56" applyNumberFormat="1" applyFont="1" applyFill="1" applyBorder="1" applyAlignment="1">
      <alignment horizontal="center" vertical="center" wrapText="1"/>
    </xf>
    <xf numFmtId="168" fontId="34" fillId="0" borderId="0" xfId="0" applyNumberFormat="1" applyFont="1" applyFill="1" applyBorder="1" applyAlignment="1">
      <alignment horizontal="center" vertical="center" wrapText="1"/>
    </xf>
    <xf numFmtId="168" fontId="40" fillId="0" borderId="1" xfId="0" applyNumberFormat="1" applyFont="1" applyFill="1" applyBorder="1" applyAlignment="1">
      <alignment horizontal="center" vertical="center" wrapText="1"/>
    </xf>
    <xf numFmtId="169" fontId="34" fillId="0" borderId="0" xfId="0" applyNumberFormat="1" applyFont="1" applyFill="1" applyBorder="1" applyAlignment="1">
      <alignment horizontal="center" vertical="center" wrapText="1"/>
    </xf>
    <xf numFmtId="49" fontId="35" fillId="0" borderId="1" xfId="57" applyNumberFormat="1" applyFont="1" applyFill="1" applyBorder="1" applyAlignment="1">
      <alignment horizontal="center" vertical="center" wrapText="1"/>
    </xf>
    <xf numFmtId="170" fontId="35" fillId="0" borderId="0" xfId="57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168" fontId="34" fillId="0" borderId="1" xfId="56" applyNumberFormat="1" applyFont="1" applyFill="1" applyBorder="1" applyAlignment="1">
      <alignment horizontal="center" vertical="center" wrapText="1"/>
    </xf>
    <xf numFmtId="168" fontId="34" fillId="0" borderId="0" xfId="56" applyNumberFormat="1" applyFont="1" applyFill="1" applyBorder="1" applyAlignment="1">
      <alignment horizontal="center" vertical="center" wrapText="1"/>
    </xf>
    <xf numFmtId="2" fontId="36" fillId="0" borderId="1" xfId="56" applyNumberFormat="1" applyFont="1" applyFill="1" applyBorder="1" applyAlignment="1">
      <alignment horizontal="center" vertical="center" wrapText="1"/>
    </xf>
    <xf numFmtId="168" fontId="34" fillId="0" borderId="0" xfId="56" applyNumberFormat="1" applyFont="1" applyFill="1" applyAlignment="1">
      <alignment horizontal="center" vertical="center" wrapText="1"/>
    </xf>
    <xf numFmtId="168" fontId="35" fillId="0" borderId="0" xfId="0" applyNumberFormat="1" applyFont="1" applyFill="1" applyAlignment="1">
      <alignment horizontal="center" vertical="center" wrapText="1"/>
    </xf>
    <xf numFmtId="168" fontId="35" fillId="0" borderId="19" xfId="0" applyNumberFormat="1" applyFont="1" applyFill="1" applyBorder="1" applyAlignment="1">
      <alignment horizontal="center" vertical="center" wrapText="1"/>
    </xf>
    <xf numFmtId="170" fontId="35" fillId="0" borderId="0" xfId="0" applyNumberFormat="1" applyFont="1" applyFill="1" applyAlignment="1">
      <alignment horizontal="center" vertical="center" wrapText="1"/>
    </xf>
    <xf numFmtId="172" fontId="35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164" fontId="35" fillId="0" borderId="0" xfId="0" applyNumberFormat="1" applyFont="1" applyFill="1" applyAlignment="1">
      <alignment horizontal="center" vertical="center" wrapText="1"/>
    </xf>
    <xf numFmtId="169" fontId="35" fillId="0" borderId="0" xfId="56" applyFont="1" applyFill="1" applyBorder="1" applyAlignment="1">
      <alignment horizontal="center" vertical="center" wrapText="1"/>
    </xf>
    <xf numFmtId="169" fontId="35" fillId="0" borderId="0" xfId="56" applyFont="1" applyFill="1" applyAlignment="1">
      <alignment horizontal="center" vertical="center" wrapText="1"/>
    </xf>
    <xf numFmtId="169" fontId="35" fillId="0" borderId="0" xfId="0" applyNumberFormat="1" applyFont="1" applyFill="1" applyAlignment="1">
      <alignment horizontal="center" vertical="center" wrapText="1"/>
    </xf>
    <xf numFmtId="170" fontId="35" fillId="0" borderId="0" xfId="0" applyNumberFormat="1" applyFont="1" applyFill="1" applyBorder="1" applyAlignment="1">
      <alignment horizontal="center" vertical="center" wrapText="1"/>
    </xf>
    <xf numFmtId="0" fontId="33" fillId="37" borderId="1" xfId="0" applyFont="1" applyFill="1" applyBorder="1" applyAlignment="1">
      <alignment horizontal="center" vertical="center" wrapText="1"/>
    </xf>
    <xf numFmtId="0" fontId="34" fillId="37" borderId="1" xfId="0" applyFont="1" applyFill="1" applyBorder="1" applyAlignment="1">
      <alignment horizontal="center" vertical="center" wrapText="1"/>
    </xf>
    <xf numFmtId="168" fontId="34" fillId="37" borderId="1" xfId="56" applyNumberFormat="1" applyFont="1" applyFill="1" applyBorder="1" applyAlignment="1">
      <alignment horizontal="center" vertical="center" wrapText="1"/>
    </xf>
    <xf numFmtId="171" fontId="34" fillId="37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73" fontId="0" fillId="0" borderId="0" xfId="0" applyNumberFormat="1"/>
    <xf numFmtId="0" fontId="34" fillId="0" borderId="2" xfId="0" applyFont="1" applyFill="1" applyBorder="1" applyAlignment="1">
      <alignment horizontal="center" vertical="center" wrapText="1"/>
    </xf>
    <xf numFmtId="0" fontId="34" fillId="37" borderId="2" xfId="0" applyFont="1" applyFill="1" applyBorder="1" applyAlignment="1">
      <alignment horizontal="center" vertical="center" wrapText="1"/>
    </xf>
    <xf numFmtId="168" fontId="34" fillId="37" borderId="2" xfId="56" applyNumberFormat="1" applyFont="1" applyFill="1" applyBorder="1" applyAlignment="1">
      <alignment horizontal="center" vertical="center" wrapText="1"/>
    </xf>
    <xf numFmtId="171" fontId="34" fillId="0" borderId="0" xfId="0" applyNumberFormat="1" applyFont="1" applyFill="1" applyBorder="1" applyAlignment="1">
      <alignment horizontal="center" vertical="center" wrapText="1"/>
    </xf>
    <xf numFmtId="0" fontId="41" fillId="37" borderId="1" xfId="0" applyFont="1" applyFill="1" applyBorder="1" applyAlignment="1">
      <alignment horizontal="center" vertical="center" wrapText="1"/>
    </xf>
    <xf numFmtId="168" fontId="41" fillId="37" borderId="1" xfId="56" applyNumberFormat="1" applyFont="1" applyFill="1" applyBorder="1" applyAlignment="1">
      <alignment horizontal="center" vertical="center" wrapText="1"/>
    </xf>
    <xf numFmtId="168" fontId="41" fillId="0" borderId="0" xfId="56" applyNumberFormat="1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43" fillId="0" borderId="0" xfId="0" applyFont="1"/>
    <xf numFmtId="0" fontId="45" fillId="0" borderId="0" xfId="0" applyFont="1"/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center" wrapText="1"/>
    </xf>
    <xf numFmtId="0" fontId="44" fillId="38" borderId="1" xfId="0" applyFont="1" applyFill="1" applyBorder="1" applyAlignment="1">
      <alignment horizontal="center" vertical="center" wrapText="1"/>
    </xf>
    <xf numFmtId="0" fontId="44" fillId="38" borderId="22" xfId="0" applyFont="1" applyFill="1" applyBorder="1" applyAlignment="1">
      <alignment horizontal="center" vertical="center" wrapText="1"/>
    </xf>
    <xf numFmtId="0" fontId="44" fillId="38" borderId="23" xfId="0" applyFont="1" applyFill="1" applyBorder="1" applyAlignment="1">
      <alignment horizontal="center" vertical="center" wrapText="1"/>
    </xf>
    <xf numFmtId="0" fontId="46" fillId="34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164" fontId="46" fillId="0" borderId="24" xfId="0" applyNumberFormat="1" applyFont="1" applyBorder="1" applyAlignment="1">
      <alignment horizontal="center" vertical="center"/>
    </xf>
    <xf numFmtId="164" fontId="46" fillId="0" borderId="25" xfId="0" applyNumberFormat="1" applyFont="1" applyBorder="1" applyAlignment="1">
      <alignment horizontal="center" vertical="center"/>
    </xf>
    <xf numFmtId="0" fontId="46" fillId="34" borderId="1" xfId="0" applyFont="1" applyFill="1" applyBorder="1" applyAlignment="1">
      <alignment horizontal="left" vertical="center" wrapText="1"/>
    </xf>
    <xf numFmtId="0" fontId="46" fillId="34" borderId="1" xfId="0" applyFont="1" applyFill="1" applyBorder="1" applyAlignment="1">
      <alignment horizontal="center" vertical="center" wrapText="1"/>
    </xf>
    <xf numFmtId="0" fontId="45" fillId="34" borderId="0" xfId="0" applyFont="1" applyFill="1"/>
    <xf numFmtId="0" fontId="47" fillId="0" borderId="0" xfId="0" applyFont="1"/>
    <xf numFmtId="164" fontId="44" fillId="0" borderId="25" xfId="0" applyNumberFormat="1" applyFont="1" applyBorder="1" applyAlignment="1">
      <alignment horizontal="center" vertical="center"/>
    </xf>
    <xf numFmtId="164" fontId="44" fillId="0" borderId="31" xfId="0" applyNumberFormat="1" applyFont="1" applyBorder="1" applyAlignment="1">
      <alignment horizontal="center" vertical="center"/>
    </xf>
    <xf numFmtId="0" fontId="46" fillId="0" borderId="0" xfId="0" applyFont="1" applyAlignment="1">
      <alignment horizontal="left"/>
    </xf>
    <xf numFmtId="0" fontId="46" fillId="0" borderId="0" xfId="0" applyFont="1"/>
    <xf numFmtId="0" fontId="44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46" fillId="34" borderId="1" xfId="0" applyFont="1" applyFill="1" applyBorder="1" applyAlignment="1">
      <alignment horizontal="center"/>
    </xf>
    <xf numFmtId="0" fontId="46" fillId="0" borderId="1" xfId="0" applyFont="1" applyBorder="1"/>
    <xf numFmtId="0" fontId="46" fillId="0" borderId="1" xfId="0" applyFont="1" applyBorder="1" applyAlignment="1">
      <alignment horizontal="center"/>
    </xf>
    <xf numFmtId="0" fontId="46" fillId="34" borderId="1" xfId="0" applyFont="1" applyFill="1" applyBorder="1"/>
    <xf numFmtId="165" fontId="46" fillId="0" borderId="1" xfId="58" applyFont="1" applyBorder="1" applyAlignment="1">
      <alignment horizontal="center"/>
    </xf>
    <xf numFmtId="165" fontId="44" fillId="0" borderId="25" xfId="0" applyNumberFormat="1" applyFont="1" applyBorder="1" applyAlignment="1">
      <alignment horizontal="center" vertical="center"/>
    </xf>
    <xf numFmtId="0" fontId="19" fillId="0" borderId="0" xfId="0" applyFont="1"/>
    <xf numFmtId="0" fontId="4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4" fillId="0" borderId="0" xfId="0" applyFont="1" applyAlignment="1">
      <alignment vertical="center"/>
    </xf>
    <xf numFmtId="0" fontId="44" fillId="0" borderId="0" xfId="0" applyFont="1" applyAlignment="1">
      <alignment horizontal="left" vertical="center"/>
    </xf>
    <xf numFmtId="0" fontId="46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46" fillId="0" borderId="1" xfId="0" applyFont="1" applyBorder="1" applyAlignment="1">
      <alignment horizontal="left" vertical="center"/>
    </xf>
    <xf numFmtId="9" fontId="46" fillId="0" borderId="1" xfId="0" applyNumberFormat="1" applyFont="1" applyBorder="1" applyAlignment="1">
      <alignment vertical="center"/>
    </xf>
    <xf numFmtId="165" fontId="46" fillId="0" borderId="1" xfId="0" applyNumberFormat="1" applyFont="1" applyBorder="1" applyAlignment="1">
      <alignment vertical="center"/>
    </xf>
    <xf numFmtId="10" fontId="46" fillId="0" borderId="1" xfId="0" applyNumberFormat="1" applyFont="1" applyBorder="1" applyAlignment="1">
      <alignment vertical="center"/>
    </xf>
    <xf numFmtId="0" fontId="44" fillId="0" borderId="1" xfId="0" applyFont="1" applyBorder="1" applyAlignment="1">
      <alignment vertical="center"/>
    </xf>
    <xf numFmtId="0" fontId="23" fillId="0" borderId="0" xfId="0" applyFont="1"/>
    <xf numFmtId="0" fontId="23" fillId="0" borderId="0" xfId="0" applyFont="1" applyBorder="1"/>
    <xf numFmtId="0" fontId="46" fillId="0" borderId="0" xfId="0" applyFont="1" applyBorder="1" applyAlignment="1">
      <alignment vertical="center"/>
    </xf>
    <xf numFmtId="0" fontId="46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vertical="center"/>
    </xf>
    <xf numFmtId="165" fontId="46" fillId="0" borderId="1" xfId="58" applyFont="1" applyBorder="1" applyAlignment="1">
      <alignment horizontal="center" vertical="center"/>
    </xf>
    <xf numFmtId="0" fontId="44" fillId="0" borderId="1" xfId="0" applyFont="1" applyBorder="1" applyAlignment="1">
      <alignment vertical="center" wrapText="1"/>
    </xf>
    <xf numFmtId="0" fontId="44" fillId="38" borderId="1" xfId="0" applyFont="1" applyFill="1" applyBorder="1" applyAlignment="1">
      <alignment vertical="center"/>
    </xf>
    <xf numFmtId="0" fontId="44" fillId="38" borderId="1" xfId="0" applyFont="1" applyFill="1" applyBorder="1" applyAlignment="1">
      <alignment horizontal="left" vertical="center"/>
    </xf>
    <xf numFmtId="10" fontId="44" fillId="38" borderId="1" xfId="1" applyNumberFormat="1" applyFont="1" applyFill="1" applyBorder="1" applyAlignment="1">
      <alignment vertical="center"/>
    </xf>
    <xf numFmtId="165" fontId="44" fillId="38" borderId="1" xfId="0" applyNumberFormat="1" applyFont="1" applyFill="1" applyBorder="1" applyAlignment="1">
      <alignment vertical="center"/>
    </xf>
    <xf numFmtId="0" fontId="46" fillId="0" borderId="1" xfId="0" applyFont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5" fontId="0" fillId="0" borderId="1" xfId="0" applyNumberFormat="1" applyBorder="1"/>
    <xf numFmtId="0" fontId="44" fillId="0" borderId="1" xfId="0" applyFont="1" applyFill="1" applyBorder="1" applyAlignment="1">
      <alignment vertical="center" wrapText="1"/>
    </xf>
    <xf numFmtId="165" fontId="19" fillId="0" borderId="1" xfId="0" applyNumberFormat="1" applyFont="1" applyBorder="1"/>
    <xf numFmtId="10" fontId="3" fillId="0" borderId="0" xfId="1" applyNumberFormat="1" applyFont="1"/>
    <xf numFmtId="0" fontId="49" fillId="0" borderId="6" xfId="0" applyFont="1" applyBorder="1" applyAlignment="1">
      <alignment horizontal="center" vertical="center" wrapText="1"/>
    </xf>
    <xf numFmtId="0" fontId="49" fillId="0" borderId="17" xfId="0" applyFont="1" applyBorder="1" applyAlignment="1">
      <alignment vertical="center" wrapText="1"/>
    </xf>
    <xf numFmtId="10" fontId="49" fillId="0" borderId="17" xfId="0" applyNumberFormat="1" applyFont="1" applyBorder="1" applyAlignment="1">
      <alignment horizontal="center" vertical="center" wrapText="1"/>
    </xf>
    <xf numFmtId="2" fontId="49" fillId="0" borderId="17" xfId="0" applyNumberFormat="1" applyFont="1" applyBorder="1" applyAlignment="1">
      <alignment horizontal="center" vertical="center" wrapText="1"/>
    </xf>
    <xf numFmtId="0" fontId="50" fillId="0" borderId="17" xfId="0" applyFont="1" applyBorder="1" applyAlignment="1">
      <alignment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2" fontId="3" fillId="0" borderId="0" xfId="0" applyNumberFormat="1" applyFont="1"/>
    <xf numFmtId="4" fontId="3" fillId="0" borderId="17" xfId="0" applyNumberFormat="1" applyFont="1" applyFill="1" applyBorder="1" applyAlignment="1">
      <alignment horizontal="center" vertical="center" wrapText="1"/>
    </xf>
    <xf numFmtId="168" fontId="42" fillId="0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43" fillId="0" borderId="1" xfId="58" applyFont="1" applyBorder="1" applyAlignment="1">
      <alignment vertical="center"/>
    </xf>
    <xf numFmtId="165" fontId="0" fillId="0" borderId="1" xfId="58" applyFont="1" applyBorder="1" applyAlignment="1">
      <alignment vertical="center"/>
    </xf>
    <xf numFmtId="0" fontId="0" fillId="0" borderId="1" xfId="0" applyBorder="1" applyAlignment="1">
      <alignment vertical="center"/>
    </xf>
    <xf numFmtId="0" fontId="43" fillId="0" borderId="0" xfId="0" applyFont="1" applyBorder="1" applyAlignment="1">
      <alignment vertical="center" wrapText="1"/>
    </xf>
    <xf numFmtId="0" fontId="43" fillId="0" borderId="0" xfId="0" applyFont="1" applyBorder="1"/>
    <xf numFmtId="175" fontId="51" fillId="0" borderId="1" xfId="0" applyNumberFormat="1" applyFont="1" applyBorder="1" applyAlignment="1">
      <alignment vertical="center"/>
    </xf>
    <xf numFmtId="164" fontId="45" fillId="0" borderId="0" xfId="0" applyNumberFormat="1" applyFont="1"/>
    <xf numFmtId="174" fontId="3" fillId="0" borderId="0" xfId="0" applyNumberFormat="1" applyFont="1" applyAlignment="1">
      <alignment horizontal="center"/>
    </xf>
    <xf numFmtId="2" fontId="23" fillId="0" borderId="17" xfId="0" applyNumberFormat="1" applyFont="1" applyBorder="1" applyAlignment="1">
      <alignment horizontal="center" vertical="center" wrapText="1"/>
    </xf>
    <xf numFmtId="165" fontId="45" fillId="0" borderId="0" xfId="0" applyNumberFormat="1" applyFont="1"/>
    <xf numFmtId="165" fontId="46" fillId="0" borderId="0" xfId="0" applyNumberFormat="1" applyFont="1"/>
    <xf numFmtId="176" fontId="35" fillId="0" borderId="1" xfId="56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3" fillId="37" borderId="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2" fillId="37" borderId="7" xfId="0" applyFont="1" applyFill="1" applyBorder="1" applyAlignment="1">
      <alignment horizontal="center" vertical="center" wrapText="1"/>
    </xf>
    <xf numFmtId="0" fontId="31" fillId="37" borderId="18" xfId="0" applyFont="1" applyFill="1" applyBorder="1" applyAlignment="1">
      <alignment horizontal="center" vertical="center" wrapText="1"/>
    </xf>
    <xf numFmtId="0" fontId="31" fillId="37" borderId="19" xfId="0" applyFont="1" applyFill="1" applyBorder="1" applyAlignment="1">
      <alignment horizontal="center" vertical="center" wrapText="1"/>
    </xf>
    <xf numFmtId="0" fontId="32" fillId="37" borderId="18" xfId="0" applyFont="1" applyFill="1" applyBorder="1" applyAlignment="1">
      <alignment horizontal="center" vertical="center" wrapText="1"/>
    </xf>
    <xf numFmtId="0" fontId="32" fillId="37" borderId="19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6" fillId="0" borderId="7" xfId="47" applyFont="1" applyFill="1" applyBorder="1" applyAlignment="1">
      <alignment horizontal="center" vertical="center"/>
    </xf>
    <xf numFmtId="0" fontId="26" fillId="0" borderId="18" xfId="47" applyFont="1" applyFill="1" applyBorder="1" applyAlignment="1">
      <alignment horizontal="center" vertical="center"/>
    </xf>
    <xf numFmtId="0" fontId="26" fillId="0" borderId="19" xfId="47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35" borderId="0" xfId="0" applyFont="1" applyFill="1" applyBorder="1" applyAlignment="1">
      <alignment horizontal="center" vertical="center"/>
    </xf>
    <xf numFmtId="0" fontId="24" fillId="36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" fillId="35" borderId="0" xfId="0" applyFont="1" applyFill="1" applyBorder="1" applyAlignment="1">
      <alignment horizontal="center" vertical="center" wrapText="1"/>
    </xf>
    <xf numFmtId="0" fontId="25" fillId="0" borderId="1" xfId="47" applyFont="1" applyFill="1" applyBorder="1" applyAlignment="1">
      <alignment horizontal="center" vertical="center" wrapText="1"/>
    </xf>
    <xf numFmtId="0" fontId="19" fillId="38" borderId="1" xfId="0" applyFont="1" applyFill="1" applyBorder="1" applyAlignment="1">
      <alignment horizontal="center"/>
    </xf>
    <xf numFmtId="0" fontId="44" fillId="0" borderId="7" xfId="0" applyFont="1" applyBorder="1" applyAlignment="1">
      <alignment horizontal="left" vertical="center" wrapText="1"/>
    </xf>
    <xf numFmtId="0" fontId="44" fillId="0" borderId="18" xfId="0" applyFont="1" applyBorder="1" applyAlignment="1">
      <alignment horizontal="left" vertical="center" wrapText="1"/>
    </xf>
    <xf numFmtId="0" fontId="44" fillId="0" borderId="19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38" borderId="1" xfId="0" applyFont="1" applyFill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4" fillId="0" borderId="27" xfId="0" applyFont="1" applyBorder="1" applyAlignment="1">
      <alignment horizontal="center" vertical="center"/>
    </xf>
    <xf numFmtId="0" fontId="44" fillId="0" borderId="28" xfId="0" applyFont="1" applyBorder="1" applyAlignment="1">
      <alignment horizontal="center" vertical="center"/>
    </xf>
    <xf numFmtId="0" fontId="44" fillId="0" borderId="29" xfId="0" applyFont="1" applyBorder="1" applyAlignment="1">
      <alignment horizontal="center" vertical="center"/>
    </xf>
    <xf numFmtId="0" fontId="44" fillId="0" borderId="30" xfId="0" applyFont="1" applyBorder="1" applyAlignment="1">
      <alignment horizontal="center" vertical="center"/>
    </xf>
    <xf numFmtId="0" fontId="44" fillId="38" borderId="1" xfId="0" applyFont="1" applyFill="1" applyBorder="1" applyAlignment="1">
      <alignment horizontal="center"/>
    </xf>
    <xf numFmtId="0" fontId="44" fillId="0" borderId="32" xfId="0" applyFont="1" applyBorder="1" applyAlignment="1">
      <alignment horizontal="center" vertical="center"/>
    </xf>
    <xf numFmtId="0" fontId="44" fillId="0" borderId="33" xfId="0" applyFont="1" applyBorder="1" applyAlignment="1">
      <alignment horizontal="center" vertical="center"/>
    </xf>
    <xf numFmtId="0" fontId="44" fillId="0" borderId="34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37" xfId="0" applyFont="1" applyBorder="1" applyAlignment="1">
      <alignment horizontal="center" vertical="center"/>
    </xf>
  </cellXfs>
  <cellStyles count="59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8" builtinId="4"/>
    <cellStyle name="Moeda 2" xfId="54" xr:uid="{00000000-0005-0000-0000-00001E000000}"/>
    <cellStyle name="Moeda 3" xfId="56" xr:uid="{00000000-0005-0000-0000-00001F000000}"/>
    <cellStyle name="Neutro" xfId="12" builtinId="28" customBuiltin="1"/>
    <cellStyle name="Normal" xfId="0" builtinId="0"/>
    <cellStyle name="Normal 2" xfId="47" xr:uid="{00000000-0005-0000-0000-000022000000}"/>
    <cellStyle name="Normal 3" xfId="53" xr:uid="{00000000-0005-0000-0000-000023000000}"/>
    <cellStyle name="Nota" xfId="19" builtinId="10" customBuiltin="1"/>
    <cellStyle name="Porcentagem" xfId="1" builtinId="5"/>
    <cellStyle name="Porcentagem 2" xfId="52" xr:uid="{00000000-0005-0000-0000-000026000000}"/>
    <cellStyle name="Ruim" xfId="11" builtinId="27" customBuiltin="1"/>
    <cellStyle name="Saída" xfId="14" builtinId="21" customBuiltin="1"/>
    <cellStyle name="Separador de milhares 2" xfId="55" xr:uid="{00000000-0005-0000-0000-000028000000}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32000000}"/>
    <cellStyle name="Vírgula 3" xfId="4" xr:uid="{00000000-0005-0000-0000-000033000000}"/>
    <cellStyle name="Vírgula 3 2" xfId="50" xr:uid="{00000000-0005-0000-0000-000034000000}"/>
    <cellStyle name="Vírgula 4" xfId="3" xr:uid="{00000000-0005-0000-0000-000035000000}"/>
    <cellStyle name="Vírgula 4 2" xfId="49" xr:uid="{00000000-0005-0000-0000-000036000000}"/>
    <cellStyle name="Vírgula 5" xfId="46" xr:uid="{00000000-0005-0000-0000-000037000000}"/>
    <cellStyle name="Vírgula 5 2" xfId="51" xr:uid="{00000000-0005-0000-0000-000038000000}"/>
    <cellStyle name="Vírgula 6" xfId="48" xr:uid="{00000000-0005-0000-0000-000039000000}"/>
    <cellStyle name="Vírgula 7" xfId="57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B10AEC0\PLANILHA%20PREG&#195;O%20ELETR&#212;NICO%20N&#186;%20129.ADNO3.SBMQ.2011-%20FINAL%20''''''''''''''''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tgt026/Configura&#231;&#245;es%20locais/Temporary%20Internet%20Files/OLKB/BM%20OC%208790%20USN%20I%20APARECIDA%20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reen%20Service\2021\SEPLAD%20-%20PA%2006.01.2020\Proposta\Planilha%20-%20P.E%20SEPLAD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eus%20documentos\wilton\programas\Planejamento\Eletrobras%20-%20Regulariza&#231;&#227;o%20de%20Consumidor%20-%202002%20v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INANCIAMENTOS%20DRD\SOLICITA&#199;&#195;O%20DE%20FINANCIAMENTOS\EXTENS&#195;O\Expan&#231;&#227;o%20de%20Tronco%20de%20Alimentador%20Wilt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fetivo"/>
      <sheetName val="PF"/>
      <sheetName val="Benefícios"/>
      <sheetName val="Uniforme e EPI"/>
      <sheetName val="Material"/>
      <sheetName val="DE"/>
      <sheetName val="DOV"/>
      <sheetName val="DV"/>
      <sheetName val="DOE_h"/>
      <sheetName val="DG"/>
      <sheetName val="E S"/>
      <sheetName val="MC"/>
      <sheetName val="ADII"/>
      <sheetName val="Resumo"/>
      <sheetName val="Consolidado_A"/>
      <sheetName val="Simulador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etim"/>
      <sheetName val="Folha"/>
      <sheetName val="CEF"/>
      <sheetName val="CIF"/>
      <sheetName val="59"/>
      <sheetName val="48"/>
      <sheetName val="52"/>
      <sheetName val="58"/>
      <sheetName val="Carta"/>
      <sheetName val="Nova Nota"/>
      <sheetName val="Diárias"/>
      <sheetName val="Carta Diárias"/>
      <sheetName val="Fatura"/>
    </sheetNames>
    <sheetDataSet>
      <sheetData sheetId="0">
        <row r="5">
          <cell r="X5">
            <v>39608</v>
          </cell>
          <cell r="AB5">
            <v>39629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_Paim"/>
      <sheetName val="Resumo.."/>
      <sheetName val="Copeiro 44hs semanais"/>
      <sheetName val="Servente 44hs semanais"/>
      <sheetName val="Jardineiro 44hs semanais"/>
      <sheetName val="Equipamentos"/>
      <sheetName val="Equipamentos (2)"/>
      <sheetName val="Materiais"/>
      <sheetName val="Materiais (Insumos)"/>
      <sheetName val="Materiais (Jardinagem)"/>
      <sheetName val="Uniforme Copeiragem"/>
      <sheetName val="Uniforme Servente de Limpeza"/>
      <sheetName val="Uniforme Jardineiro"/>
    </sheetNames>
    <sheetDataSet>
      <sheetData sheetId="0">
        <row r="13">
          <cell r="D13">
            <v>0.1</v>
          </cell>
        </row>
        <row r="14">
          <cell r="D14">
            <v>0.2</v>
          </cell>
        </row>
        <row r="15">
          <cell r="D15">
            <v>0.4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e Beneficios"/>
      <sheetName val="Calculo do Custo Dem e Energ"/>
      <sheetName val="Cálculo de Perdas"/>
      <sheetName val="Cons. Perda de Demanda"/>
      <sheetName val="novo"/>
    </sheetNames>
    <sheetDataSet>
      <sheetData sheetId="0">
        <row r="13">
          <cell r="A13" t="str">
            <v>Número de Consumidores a serem regularizados</v>
          </cell>
          <cell r="B13" t="str">
            <v>u n</v>
          </cell>
          <cell r="C13" t="str">
            <v>NC</v>
          </cell>
          <cell r="D13">
            <v>22952</v>
          </cell>
        </row>
        <row r="14">
          <cell r="A14" t="str">
            <v>Consumo por consumidor antes da regularização</v>
          </cell>
          <cell r="B14" t="str">
            <v>kWh/mês</v>
          </cell>
          <cell r="C14" t="str">
            <v>Cantes</v>
          </cell>
          <cell r="D14">
            <v>219.61</v>
          </cell>
        </row>
        <row r="15">
          <cell r="A15" t="str">
            <v>Consumo por consumidor depois da regularização</v>
          </cell>
          <cell r="B15" t="str">
            <v>kWh/mês</v>
          </cell>
          <cell r="C15" t="str">
            <v>Cdepois</v>
          </cell>
          <cell r="D15">
            <v>108.7</v>
          </cell>
        </row>
        <row r="16">
          <cell r="A16" t="str">
            <v>Fator de Carga (Baixa Tensão)</v>
          </cell>
          <cell r="B16" t="str">
            <v>-</v>
          </cell>
          <cell r="C16" t="str">
            <v>FCbt</v>
          </cell>
          <cell r="D16">
            <v>0.47</v>
          </cell>
        </row>
        <row r="17">
          <cell r="A17" t="str">
            <v>Periodo do Estudo</v>
          </cell>
          <cell r="B17" t="str">
            <v>mês</v>
          </cell>
          <cell r="C17" t="str">
            <v>P</v>
          </cell>
          <cell r="D17">
            <v>12</v>
          </cell>
        </row>
        <row r="22">
          <cell r="A22" t="str">
            <v>Custo Total do Investimento</v>
          </cell>
          <cell r="B22" t="str">
            <v>R$</v>
          </cell>
          <cell r="C22" t="str">
            <v>CT</v>
          </cell>
          <cell r="D22">
            <v>6882150</v>
          </cell>
        </row>
        <row r="23">
          <cell r="A23" t="str">
            <v>Taxa de Remuneração ou Taxa de Desconto</v>
          </cell>
          <cell r="B23" t="str">
            <v>-</v>
          </cell>
          <cell r="C23" t="str">
            <v>a</v>
          </cell>
          <cell r="D23">
            <v>0.12</v>
          </cell>
        </row>
        <row r="24">
          <cell r="A24" t="str">
            <v>Vida Ùtil do Projeto</v>
          </cell>
          <cell r="B24" t="str">
            <v>ano</v>
          </cell>
          <cell r="C24" t="str">
            <v xml:space="preserve">n </v>
          </cell>
          <cell r="D24">
            <v>20</v>
          </cell>
        </row>
        <row r="25">
          <cell r="A25" t="str">
            <v>Taxa de Despesa Anual de Exploração</v>
          </cell>
          <cell r="B25" t="str">
            <v>(%)</v>
          </cell>
          <cell r="C25" t="str">
            <v>DE</v>
          </cell>
          <cell r="D25">
            <v>0.02</v>
          </cell>
        </row>
        <row r="26">
          <cell r="A26" t="str">
            <v>Taxa média de crescimento do Mercado</v>
          </cell>
          <cell r="B26" t="str">
            <v>(%)</v>
          </cell>
          <cell r="C26" t="str">
            <v>g</v>
          </cell>
          <cell r="D26">
            <v>0.06</v>
          </cell>
        </row>
      </sheetData>
      <sheetData sheetId="1"/>
      <sheetData sheetId="2">
        <row r="9">
          <cell r="A9" t="str">
            <v>Energia Requerida pelos Consumidores cadastrados</v>
          </cell>
          <cell r="B9" t="str">
            <v>MWh</v>
          </cell>
          <cell r="C9" t="str">
            <v>Cdist</v>
          </cell>
          <cell r="D9">
            <v>29938.58</v>
          </cell>
        </row>
        <row r="10">
          <cell r="A10" t="str">
            <v>Fator de carga Tipico do Sistema</v>
          </cell>
          <cell r="B10" t="str">
            <v>-</v>
          </cell>
          <cell r="C10" t="str">
            <v>Fc</v>
          </cell>
          <cell r="D10">
            <v>0.47</v>
          </cell>
        </row>
        <row r="14">
          <cell r="A14" t="str">
            <v xml:space="preserve">Tensão Nominal entre fases da rede primária </v>
          </cell>
          <cell r="B14" t="str">
            <v>kV</v>
          </cell>
          <cell r="C14" t="str">
            <v>V</v>
          </cell>
          <cell r="D14">
            <v>13.8</v>
          </cell>
        </row>
        <row r="15">
          <cell r="A15" t="str">
            <v>Fator de Potencia Tipico da Rede Primária</v>
          </cell>
          <cell r="B15" t="str">
            <v>-</v>
          </cell>
          <cell r="C15" t="str">
            <v>Cosat</v>
          </cell>
          <cell r="D15">
            <v>0.92</v>
          </cell>
        </row>
        <row r="19">
          <cell r="A19" t="str">
            <v>Número de trafos (MT/BT) SEC (trafos com rede secundária associada)</v>
          </cell>
          <cell r="B19" t="str">
            <v>u n</v>
          </cell>
          <cell r="C19" t="str">
            <v>Ns</v>
          </cell>
          <cell r="D19">
            <v>362</v>
          </cell>
        </row>
        <row r="21">
          <cell r="A21" t="str">
            <v>Potencia nominal dos trafos SEC</v>
          </cell>
          <cell r="B21" t="str">
            <v>kVA</v>
          </cell>
          <cell r="C21" t="str">
            <v>KVAs</v>
          </cell>
          <cell r="D21">
            <v>17362.5</v>
          </cell>
        </row>
        <row r="23">
          <cell r="A23" t="str">
            <v>Carregamento médio dos trafos SEC</v>
          </cell>
          <cell r="B23" t="str">
            <v>-</v>
          </cell>
          <cell r="C23" t="str">
            <v>fus</v>
          </cell>
          <cell r="D23">
            <v>0.49</v>
          </cell>
        </row>
        <row r="25">
          <cell r="A25" t="str">
            <v>Tensão entre fases da rede secundária</v>
          </cell>
          <cell r="B25" t="str">
            <v>V</v>
          </cell>
          <cell r="C25" t="str">
            <v>Vz</v>
          </cell>
          <cell r="D25">
            <v>220</v>
          </cell>
        </row>
        <row r="26">
          <cell r="A26" t="str">
            <v>Tensão entre fases e neutro da rede secundária</v>
          </cell>
          <cell r="B26" t="str">
            <v>V</v>
          </cell>
          <cell r="C26" t="str">
            <v>Vfn</v>
          </cell>
          <cell r="D26">
            <v>127</v>
          </cell>
        </row>
        <row r="27">
          <cell r="A27" t="str">
            <v>Fator de potencia tipica da rede secundária</v>
          </cell>
          <cell r="B27" t="str">
            <v>-</v>
          </cell>
          <cell r="C27" t="str">
            <v>Cosbt</v>
          </cell>
          <cell r="D27">
            <v>0.85</v>
          </cell>
        </row>
        <row r="28">
          <cell r="A28" t="str">
            <v>Resistencia do condutor da rede secundaria principal</v>
          </cell>
          <cell r="B28" t="str">
            <v>Ohm/km</v>
          </cell>
          <cell r="C28" t="str">
            <v>R1</v>
          </cell>
          <cell r="D28">
            <v>0.4274</v>
          </cell>
        </row>
        <row r="29">
          <cell r="A29" t="str">
            <v>Resistencia do condutor dos demais võs da rede secundária</v>
          </cell>
          <cell r="B29" t="str">
            <v>Ohm/km</v>
          </cell>
          <cell r="C29" t="str">
            <v>R2</v>
          </cell>
          <cell r="D29">
            <v>0.53910000000000002</v>
          </cell>
        </row>
        <row r="30">
          <cell r="A30" t="str">
            <v>Número médio de postes por rede secundária</v>
          </cell>
          <cell r="B30" t="str">
            <v>u n</v>
          </cell>
          <cell r="C30" t="str">
            <v>ns</v>
          </cell>
          <cell r="D30">
            <v>15</v>
          </cell>
        </row>
        <row r="31">
          <cell r="A31" t="str">
            <v>Fator de desequilibrio tipico da rede secundaria</v>
          </cell>
          <cell r="B31" t="str">
            <v>-</v>
          </cell>
          <cell r="C31" t="str">
            <v>TS</v>
          </cell>
          <cell r="D31">
            <v>1.1000000000000001</v>
          </cell>
        </row>
        <row r="32">
          <cell r="A32" t="str">
            <v>Número total de Consumidores</v>
          </cell>
          <cell r="B32" t="str">
            <v>u n</v>
          </cell>
          <cell r="C32" t="str">
            <v>Nc</v>
          </cell>
          <cell r="D32">
            <v>22952</v>
          </cell>
        </row>
        <row r="33">
          <cell r="A33" t="str">
            <v>Incidencia de consumidores monofasicos</v>
          </cell>
          <cell r="B33" t="str">
            <v>(%)</v>
          </cell>
          <cell r="C33" t="str">
            <v>i1</v>
          </cell>
          <cell r="D33">
            <v>0.79500000000000004</v>
          </cell>
        </row>
        <row r="34">
          <cell r="A34" t="str">
            <v>Incidencia de consumidores bifasicos</v>
          </cell>
          <cell r="B34" t="str">
            <v>(%)</v>
          </cell>
          <cell r="C34" t="str">
            <v>i2</v>
          </cell>
          <cell r="D34">
            <v>0.14000000000000001</v>
          </cell>
        </row>
        <row r="35">
          <cell r="A35" t="str">
            <v>Incidencia de consumidores Trifasicos</v>
          </cell>
          <cell r="B35" t="str">
            <v>(%)</v>
          </cell>
          <cell r="C35" t="str">
            <v>i3</v>
          </cell>
          <cell r="D35">
            <v>6.5000000000000002E-2</v>
          </cell>
        </row>
        <row r="36">
          <cell r="A36" t="str">
            <v>Resitencia do condutor do ramal de ligação</v>
          </cell>
          <cell r="B36" t="str">
            <v>Ohm/km</v>
          </cell>
          <cell r="C36" t="str">
            <v>Rl</v>
          </cell>
          <cell r="D36">
            <v>5.5159000000000002</v>
          </cell>
        </row>
        <row r="37">
          <cell r="A37" t="str">
            <v>Comprimento do ramal de ligação tipico</v>
          </cell>
          <cell r="B37" t="str">
            <v>km</v>
          </cell>
          <cell r="C37" t="str">
            <v>L</v>
          </cell>
          <cell r="D37">
            <v>1.4999999999999999E-2</v>
          </cell>
        </row>
        <row r="38">
          <cell r="A38" t="str">
            <v>Constante para o calculo do fator de perda</v>
          </cell>
          <cell r="B38" t="str">
            <v>-</v>
          </cell>
          <cell r="C38" t="str">
            <v>k</v>
          </cell>
          <cell r="D38">
            <v>0.15</v>
          </cell>
        </row>
      </sheetData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Remanejamento de Carga"/>
      <sheetName val="SFL"/>
      <sheetName val="CD"/>
      <sheetName val="SA"/>
      <sheetName val="Analise Perdas 1"/>
      <sheetName val="DADOS"/>
      <sheetName val="SA-01-03-04"/>
      <sheetName val="SA-09"/>
      <sheetName val="SA-02"/>
      <sheetName val="SA-10"/>
      <sheetName val="Metas e Benefícios"/>
      <sheetName val="Custo Evitado"/>
      <sheetName val="Cons. Perda de Demanda"/>
    </sheetNames>
    <sheetDataSet>
      <sheetData sheetId="0">
        <row r="10">
          <cell r="C10">
            <v>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1"/>
  <sheetViews>
    <sheetView tabSelected="1" view="pageBreakPreview" topLeftCell="A72" zoomScaleNormal="100" zoomScaleSheetLayoutView="100" workbookViewId="0">
      <selection activeCell="I86" sqref="I86"/>
    </sheetView>
  </sheetViews>
  <sheetFormatPr defaultRowHeight="15" x14ac:dyDescent="0.25"/>
  <cols>
    <col min="1" max="1" width="70.5703125" style="74" bestFit="1" customWidth="1"/>
    <col min="2" max="2" width="35.140625" style="74" bestFit="1" customWidth="1"/>
    <col min="3" max="3" width="25.140625" style="74" bestFit="1" customWidth="1"/>
    <col min="4" max="4" width="16.85546875" style="74" bestFit="1" customWidth="1"/>
    <col min="5" max="5" width="18.42578125" style="74" bestFit="1" customWidth="1"/>
    <col min="6" max="6" width="14.85546875" style="74" customWidth="1"/>
    <col min="7" max="7" width="13.85546875" style="74" customWidth="1"/>
    <col min="9" max="9" width="24.28515625" customWidth="1"/>
    <col min="10" max="10" width="20" customWidth="1"/>
    <col min="251" max="251" width="38.85546875" customWidth="1"/>
    <col min="252" max="252" width="15.140625" customWidth="1"/>
    <col min="253" max="253" width="12.85546875" customWidth="1"/>
    <col min="254" max="254" width="16.5703125" customWidth="1"/>
    <col min="255" max="255" width="15" customWidth="1"/>
    <col min="256" max="256" width="14.85546875" customWidth="1"/>
    <col min="257" max="257" width="13.85546875" customWidth="1"/>
    <col min="258" max="258" width="14.85546875" customWidth="1"/>
    <col min="259" max="259" width="12.85546875" customWidth="1"/>
    <col min="260" max="261" width="12.85546875" bestFit="1" customWidth="1"/>
    <col min="263" max="263" width="12.85546875" bestFit="1" customWidth="1"/>
    <col min="507" max="507" width="38.85546875" customWidth="1"/>
    <col min="508" max="508" width="15.140625" customWidth="1"/>
    <col min="509" max="509" width="12.85546875" customWidth="1"/>
    <col min="510" max="510" width="16.5703125" customWidth="1"/>
    <col min="511" max="511" width="15" customWidth="1"/>
    <col min="512" max="512" width="14.85546875" customWidth="1"/>
    <col min="513" max="513" width="13.85546875" customWidth="1"/>
    <col min="514" max="514" width="14.85546875" customWidth="1"/>
    <col min="515" max="515" width="12.85546875" customWidth="1"/>
    <col min="516" max="517" width="12.85546875" bestFit="1" customWidth="1"/>
    <col min="519" max="519" width="12.85546875" bestFit="1" customWidth="1"/>
    <col min="763" max="763" width="38.85546875" customWidth="1"/>
    <col min="764" max="764" width="15.140625" customWidth="1"/>
    <col min="765" max="765" width="12.85546875" customWidth="1"/>
    <col min="766" max="766" width="16.5703125" customWidth="1"/>
    <col min="767" max="767" width="15" customWidth="1"/>
    <col min="768" max="768" width="14.85546875" customWidth="1"/>
    <col min="769" max="769" width="13.85546875" customWidth="1"/>
    <col min="770" max="770" width="14.85546875" customWidth="1"/>
    <col min="771" max="771" width="12.85546875" customWidth="1"/>
    <col min="772" max="773" width="12.85546875" bestFit="1" customWidth="1"/>
    <col min="775" max="775" width="12.85546875" bestFit="1" customWidth="1"/>
    <col min="1019" max="1019" width="38.85546875" customWidth="1"/>
    <col min="1020" max="1020" width="15.140625" customWidth="1"/>
    <col min="1021" max="1021" width="12.85546875" customWidth="1"/>
    <col min="1022" max="1022" width="16.5703125" customWidth="1"/>
    <col min="1023" max="1023" width="15" customWidth="1"/>
    <col min="1024" max="1024" width="14.85546875" customWidth="1"/>
    <col min="1025" max="1025" width="13.85546875" customWidth="1"/>
    <col min="1026" max="1026" width="14.85546875" customWidth="1"/>
    <col min="1027" max="1027" width="12.85546875" customWidth="1"/>
    <col min="1028" max="1029" width="12.85546875" bestFit="1" customWidth="1"/>
    <col min="1031" max="1031" width="12.85546875" bestFit="1" customWidth="1"/>
    <col min="1275" max="1275" width="38.85546875" customWidth="1"/>
    <col min="1276" max="1276" width="15.140625" customWidth="1"/>
    <col min="1277" max="1277" width="12.85546875" customWidth="1"/>
    <col min="1278" max="1278" width="16.5703125" customWidth="1"/>
    <col min="1279" max="1279" width="15" customWidth="1"/>
    <col min="1280" max="1280" width="14.85546875" customWidth="1"/>
    <col min="1281" max="1281" width="13.85546875" customWidth="1"/>
    <col min="1282" max="1282" width="14.85546875" customWidth="1"/>
    <col min="1283" max="1283" width="12.85546875" customWidth="1"/>
    <col min="1284" max="1285" width="12.85546875" bestFit="1" customWidth="1"/>
    <col min="1287" max="1287" width="12.85546875" bestFit="1" customWidth="1"/>
    <col min="1531" max="1531" width="38.85546875" customWidth="1"/>
    <col min="1532" max="1532" width="15.140625" customWidth="1"/>
    <col min="1533" max="1533" width="12.85546875" customWidth="1"/>
    <col min="1534" max="1534" width="16.5703125" customWidth="1"/>
    <col min="1535" max="1535" width="15" customWidth="1"/>
    <col min="1536" max="1536" width="14.85546875" customWidth="1"/>
    <col min="1537" max="1537" width="13.85546875" customWidth="1"/>
    <col min="1538" max="1538" width="14.85546875" customWidth="1"/>
    <col min="1539" max="1539" width="12.85546875" customWidth="1"/>
    <col min="1540" max="1541" width="12.85546875" bestFit="1" customWidth="1"/>
    <col min="1543" max="1543" width="12.85546875" bestFit="1" customWidth="1"/>
    <col min="1787" max="1787" width="38.85546875" customWidth="1"/>
    <col min="1788" max="1788" width="15.140625" customWidth="1"/>
    <col min="1789" max="1789" width="12.85546875" customWidth="1"/>
    <col min="1790" max="1790" width="16.5703125" customWidth="1"/>
    <col min="1791" max="1791" width="15" customWidth="1"/>
    <col min="1792" max="1792" width="14.85546875" customWidth="1"/>
    <col min="1793" max="1793" width="13.85546875" customWidth="1"/>
    <col min="1794" max="1794" width="14.85546875" customWidth="1"/>
    <col min="1795" max="1795" width="12.85546875" customWidth="1"/>
    <col min="1796" max="1797" width="12.85546875" bestFit="1" customWidth="1"/>
    <col min="1799" max="1799" width="12.85546875" bestFit="1" customWidth="1"/>
    <col min="2043" max="2043" width="38.85546875" customWidth="1"/>
    <col min="2044" max="2044" width="15.140625" customWidth="1"/>
    <col min="2045" max="2045" width="12.85546875" customWidth="1"/>
    <col min="2046" max="2046" width="16.5703125" customWidth="1"/>
    <col min="2047" max="2047" width="15" customWidth="1"/>
    <col min="2048" max="2048" width="14.85546875" customWidth="1"/>
    <col min="2049" max="2049" width="13.85546875" customWidth="1"/>
    <col min="2050" max="2050" width="14.85546875" customWidth="1"/>
    <col min="2051" max="2051" width="12.85546875" customWidth="1"/>
    <col min="2052" max="2053" width="12.85546875" bestFit="1" customWidth="1"/>
    <col min="2055" max="2055" width="12.85546875" bestFit="1" customWidth="1"/>
    <col min="2299" max="2299" width="38.85546875" customWidth="1"/>
    <col min="2300" max="2300" width="15.140625" customWidth="1"/>
    <col min="2301" max="2301" width="12.85546875" customWidth="1"/>
    <col min="2302" max="2302" width="16.5703125" customWidth="1"/>
    <col min="2303" max="2303" width="15" customWidth="1"/>
    <col min="2304" max="2304" width="14.85546875" customWidth="1"/>
    <col min="2305" max="2305" width="13.85546875" customWidth="1"/>
    <col min="2306" max="2306" width="14.85546875" customWidth="1"/>
    <col min="2307" max="2307" width="12.85546875" customWidth="1"/>
    <col min="2308" max="2309" width="12.85546875" bestFit="1" customWidth="1"/>
    <col min="2311" max="2311" width="12.85546875" bestFit="1" customWidth="1"/>
    <col min="2555" max="2555" width="38.85546875" customWidth="1"/>
    <col min="2556" max="2556" width="15.140625" customWidth="1"/>
    <col min="2557" max="2557" width="12.85546875" customWidth="1"/>
    <col min="2558" max="2558" width="16.5703125" customWidth="1"/>
    <col min="2559" max="2559" width="15" customWidth="1"/>
    <col min="2560" max="2560" width="14.85546875" customWidth="1"/>
    <col min="2561" max="2561" width="13.85546875" customWidth="1"/>
    <col min="2562" max="2562" width="14.85546875" customWidth="1"/>
    <col min="2563" max="2563" width="12.85546875" customWidth="1"/>
    <col min="2564" max="2565" width="12.85546875" bestFit="1" customWidth="1"/>
    <col min="2567" max="2567" width="12.85546875" bestFit="1" customWidth="1"/>
    <col min="2811" max="2811" width="38.85546875" customWidth="1"/>
    <col min="2812" max="2812" width="15.140625" customWidth="1"/>
    <col min="2813" max="2813" width="12.85546875" customWidth="1"/>
    <col min="2814" max="2814" width="16.5703125" customWidth="1"/>
    <col min="2815" max="2815" width="15" customWidth="1"/>
    <col min="2816" max="2816" width="14.85546875" customWidth="1"/>
    <col min="2817" max="2817" width="13.85546875" customWidth="1"/>
    <col min="2818" max="2818" width="14.85546875" customWidth="1"/>
    <col min="2819" max="2819" width="12.85546875" customWidth="1"/>
    <col min="2820" max="2821" width="12.85546875" bestFit="1" customWidth="1"/>
    <col min="2823" max="2823" width="12.85546875" bestFit="1" customWidth="1"/>
    <col min="3067" max="3067" width="38.85546875" customWidth="1"/>
    <col min="3068" max="3068" width="15.140625" customWidth="1"/>
    <col min="3069" max="3069" width="12.85546875" customWidth="1"/>
    <col min="3070" max="3070" width="16.5703125" customWidth="1"/>
    <col min="3071" max="3071" width="15" customWidth="1"/>
    <col min="3072" max="3072" width="14.85546875" customWidth="1"/>
    <col min="3073" max="3073" width="13.85546875" customWidth="1"/>
    <col min="3074" max="3074" width="14.85546875" customWidth="1"/>
    <col min="3075" max="3075" width="12.85546875" customWidth="1"/>
    <col min="3076" max="3077" width="12.85546875" bestFit="1" customWidth="1"/>
    <col min="3079" max="3079" width="12.85546875" bestFit="1" customWidth="1"/>
    <col min="3323" max="3323" width="38.85546875" customWidth="1"/>
    <col min="3324" max="3324" width="15.140625" customWidth="1"/>
    <col min="3325" max="3325" width="12.85546875" customWidth="1"/>
    <col min="3326" max="3326" width="16.5703125" customWidth="1"/>
    <col min="3327" max="3327" width="15" customWidth="1"/>
    <col min="3328" max="3328" width="14.85546875" customWidth="1"/>
    <col min="3329" max="3329" width="13.85546875" customWidth="1"/>
    <col min="3330" max="3330" width="14.85546875" customWidth="1"/>
    <col min="3331" max="3331" width="12.85546875" customWidth="1"/>
    <col min="3332" max="3333" width="12.85546875" bestFit="1" customWidth="1"/>
    <col min="3335" max="3335" width="12.85546875" bestFit="1" customWidth="1"/>
    <col min="3579" max="3579" width="38.85546875" customWidth="1"/>
    <col min="3580" max="3580" width="15.140625" customWidth="1"/>
    <col min="3581" max="3581" width="12.85546875" customWidth="1"/>
    <col min="3582" max="3582" width="16.5703125" customWidth="1"/>
    <col min="3583" max="3583" width="15" customWidth="1"/>
    <col min="3584" max="3584" width="14.85546875" customWidth="1"/>
    <col min="3585" max="3585" width="13.85546875" customWidth="1"/>
    <col min="3586" max="3586" width="14.85546875" customWidth="1"/>
    <col min="3587" max="3587" width="12.85546875" customWidth="1"/>
    <col min="3588" max="3589" width="12.85546875" bestFit="1" customWidth="1"/>
    <col min="3591" max="3591" width="12.85546875" bestFit="1" customWidth="1"/>
    <col min="3835" max="3835" width="38.85546875" customWidth="1"/>
    <col min="3836" max="3836" width="15.140625" customWidth="1"/>
    <col min="3837" max="3837" width="12.85546875" customWidth="1"/>
    <col min="3838" max="3838" width="16.5703125" customWidth="1"/>
    <col min="3839" max="3839" width="15" customWidth="1"/>
    <col min="3840" max="3840" width="14.85546875" customWidth="1"/>
    <col min="3841" max="3841" width="13.85546875" customWidth="1"/>
    <col min="3842" max="3842" width="14.85546875" customWidth="1"/>
    <col min="3843" max="3843" width="12.85546875" customWidth="1"/>
    <col min="3844" max="3845" width="12.85546875" bestFit="1" customWidth="1"/>
    <col min="3847" max="3847" width="12.85546875" bestFit="1" customWidth="1"/>
    <col min="4091" max="4091" width="38.85546875" customWidth="1"/>
    <col min="4092" max="4092" width="15.140625" customWidth="1"/>
    <col min="4093" max="4093" width="12.85546875" customWidth="1"/>
    <col min="4094" max="4094" width="16.5703125" customWidth="1"/>
    <col min="4095" max="4095" width="15" customWidth="1"/>
    <col min="4096" max="4096" width="14.85546875" customWidth="1"/>
    <col min="4097" max="4097" width="13.85546875" customWidth="1"/>
    <col min="4098" max="4098" width="14.85546875" customWidth="1"/>
    <col min="4099" max="4099" width="12.85546875" customWidth="1"/>
    <col min="4100" max="4101" width="12.85546875" bestFit="1" customWidth="1"/>
    <col min="4103" max="4103" width="12.85546875" bestFit="1" customWidth="1"/>
    <col min="4347" max="4347" width="38.85546875" customWidth="1"/>
    <col min="4348" max="4348" width="15.140625" customWidth="1"/>
    <col min="4349" max="4349" width="12.85546875" customWidth="1"/>
    <col min="4350" max="4350" width="16.5703125" customWidth="1"/>
    <col min="4351" max="4351" width="15" customWidth="1"/>
    <col min="4352" max="4352" width="14.85546875" customWidth="1"/>
    <col min="4353" max="4353" width="13.85546875" customWidth="1"/>
    <col min="4354" max="4354" width="14.85546875" customWidth="1"/>
    <col min="4355" max="4355" width="12.85546875" customWidth="1"/>
    <col min="4356" max="4357" width="12.85546875" bestFit="1" customWidth="1"/>
    <col min="4359" max="4359" width="12.85546875" bestFit="1" customWidth="1"/>
    <col min="4603" max="4603" width="38.85546875" customWidth="1"/>
    <col min="4604" max="4604" width="15.140625" customWidth="1"/>
    <col min="4605" max="4605" width="12.85546875" customWidth="1"/>
    <col min="4606" max="4606" width="16.5703125" customWidth="1"/>
    <col min="4607" max="4607" width="15" customWidth="1"/>
    <col min="4608" max="4608" width="14.85546875" customWidth="1"/>
    <col min="4609" max="4609" width="13.85546875" customWidth="1"/>
    <col min="4610" max="4610" width="14.85546875" customWidth="1"/>
    <col min="4611" max="4611" width="12.85546875" customWidth="1"/>
    <col min="4612" max="4613" width="12.85546875" bestFit="1" customWidth="1"/>
    <col min="4615" max="4615" width="12.85546875" bestFit="1" customWidth="1"/>
    <col min="4859" max="4859" width="38.85546875" customWidth="1"/>
    <col min="4860" max="4860" width="15.140625" customWidth="1"/>
    <col min="4861" max="4861" width="12.85546875" customWidth="1"/>
    <col min="4862" max="4862" width="16.5703125" customWidth="1"/>
    <col min="4863" max="4863" width="15" customWidth="1"/>
    <col min="4864" max="4864" width="14.85546875" customWidth="1"/>
    <col min="4865" max="4865" width="13.85546875" customWidth="1"/>
    <col min="4866" max="4866" width="14.85546875" customWidth="1"/>
    <col min="4867" max="4867" width="12.85546875" customWidth="1"/>
    <col min="4868" max="4869" width="12.85546875" bestFit="1" customWidth="1"/>
    <col min="4871" max="4871" width="12.85546875" bestFit="1" customWidth="1"/>
    <col min="5115" max="5115" width="38.85546875" customWidth="1"/>
    <col min="5116" max="5116" width="15.140625" customWidth="1"/>
    <col min="5117" max="5117" width="12.85546875" customWidth="1"/>
    <col min="5118" max="5118" width="16.5703125" customWidth="1"/>
    <col min="5119" max="5119" width="15" customWidth="1"/>
    <col min="5120" max="5120" width="14.85546875" customWidth="1"/>
    <col min="5121" max="5121" width="13.85546875" customWidth="1"/>
    <col min="5122" max="5122" width="14.85546875" customWidth="1"/>
    <col min="5123" max="5123" width="12.85546875" customWidth="1"/>
    <col min="5124" max="5125" width="12.85546875" bestFit="1" customWidth="1"/>
    <col min="5127" max="5127" width="12.85546875" bestFit="1" customWidth="1"/>
    <col min="5371" max="5371" width="38.85546875" customWidth="1"/>
    <col min="5372" max="5372" width="15.140625" customWidth="1"/>
    <col min="5373" max="5373" width="12.85546875" customWidth="1"/>
    <col min="5374" max="5374" width="16.5703125" customWidth="1"/>
    <col min="5375" max="5375" width="15" customWidth="1"/>
    <col min="5376" max="5376" width="14.85546875" customWidth="1"/>
    <col min="5377" max="5377" width="13.85546875" customWidth="1"/>
    <col min="5378" max="5378" width="14.85546875" customWidth="1"/>
    <col min="5379" max="5379" width="12.85546875" customWidth="1"/>
    <col min="5380" max="5381" width="12.85546875" bestFit="1" customWidth="1"/>
    <col min="5383" max="5383" width="12.85546875" bestFit="1" customWidth="1"/>
    <col min="5627" max="5627" width="38.85546875" customWidth="1"/>
    <col min="5628" max="5628" width="15.140625" customWidth="1"/>
    <col min="5629" max="5629" width="12.85546875" customWidth="1"/>
    <col min="5630" max="5630" width="16.5703125" customWidth="1"/>
    <col min="5631" max="5631" width="15" customWidth="1"/>
    <col min="5632" max="5632" width="14.85546875" customWidth="1"/>
    <col min="5633" max="5633" width="13.85546875" customWidth="1"/>
    <col min="5634" max="5634" width="14.85546875" customWidth="1"/>
    <col min="5635" max="5635" width="12.85546875" customWidth="1"/>
    <col min="5636" max="5637" width="12.85546875" bestFit="1" customWidth="1"/>
    <col min="5639" max="5639" width="12.85546875" bestFit="1" customWidth="1"/>
    <col min="5883" max="5883" width="38.85546875" customWidth="1"/>
    <col min="5884" max="5884" width="15.140625" customWidth="1"/>
    <col min="5885" max="5885" width="12.85546875" customWidth="1"/>
    <col min="5886" max="5886" width="16.5703125" customWidth="1"/>
    <col min="5887" max="5887" width="15" customWidth="1"/>
    <col min="5888" max="5888" width="14.85546875" customWidth="1"/>
    <col min="5889" max="5889" width="13.85546875" customWidth="1"/>
    <col min="5890" max="5890" width="14.85546875" customWidth="1"/>
    <col min="5891" max="5891" width="12.85546875" customWidth="1"/>
    <col min="5892" max="5893" width="12.85546875" bestFit="1" customWidth="1"/>
    <col min="5895" max="5895" width="12.85546875" bestFit="1" customWidth="1"/>
    <col min="6139" max="6139" width="38.85546875" customWidth="1"/>
    <col min="6140" max="6140" width="15.140625" customWidth="1"/>
    <col min="6141" max="6141" width="12.85546875" customWidth="1"/>
    <col min="6142" max="6142" width="16.5703125" customWidth="1"/>
    <col min="6143" max="6143" width="15" customWidth="1"/>
    <col min="6144" max="6144" width="14.85546875" customWidth="1"/>
    <col min="6145" max="6145" width="13.85546875" customWidth="1"/>
    <col min="6146" max="6146" width="14.85546875" customWidth="1"/>
    <col min="6147" max="6147" width="12.85546875" customWidth="1"/>
    <col min="6148" max="6149" width="12.85546875" bestFit="1" customWidth="1"/>
    <col min="6151" max="6151" width="12.85546875" bestFit="1" customWidth="1"/>
    <col min="6395" max="6395" width="38.85546875" customWidth="1"/>
    <col min="6396" max="6396" width="15.140625" customWidth="1"/>
    <col min="6397" max="6397" width="12.85546875" customWidth="1"/>
    <col min="6398" max="6398" width="16.5703125" customWidth="1"/>
    <col min="6399" max="6399" width="15" customWidth="1"/>
    <col min="6400" max="6400" width="14.85546875" customWidth="1"/>
    <col min="6401" max="6401" width="13.85546875" customWidth="1"/>
    <col min="6402" max="6402" width="14.85546875" customWidth="1"/>
    <col min="6403" max="6403" width="12.85546875" customWidth="1"/>
    <col min="6404" max="6405" width="12.85546875" bestFit="1" customWidth="1"/>
    <col min="6407" max="6407" width="12.85546875" bestFit="1" customWidth="1"/>
    <col min="6651" max="6651" width="38.85546875" customWidth="1"/>
    <col min="6652" max="6652" width="15.140625" customWidth="1"/>
    <col min="6653" max="6653" width="12.85546875" customWidth="1"/>
    <col min="6654" max="6654" width="16.5703125" customWidth="1"/>
    <col min="6655" max="6655" width="15" customWidth="1"/>
    <col min="6656" max="6656" width="14.85546875" customWidth="1"/>
    <col min="6657" max="6657" width="13.85546875" customWidth="1"/>
    <col min="6658" max="6658" width="14.85546875" customWidth="1"/>
    <col min="6659" max="6659" width="12.85546875" customWidth="1"/>
    <col min="6660" max="6661" width="12.85546875" bestFit="1" customWidth="1"/>
    <col min="6663" max="6663" width="12.85546875" bestFit="1" customWidth="1"/>
    <col min="6907" max="6907" width="38.85546875" customWidth="1"/>
    <col min="6908" max="6908" width="15.140625" customWidth="1"/>
    <col min="6909" max="6909" width="12.85546875" customWidth="1"/>
    <col min="6910" max="6910" width="16.5703125" customWidth="1"/>
    <col min="6911" max="6911" width="15" customWidth="1"/>
    <col min="6912" max="6912" width="14.85546875" customWidth="1"/>
    <col min="6913" max="6913" width="13.85546875" customWidth="1"/>
    <col min="6914" max="6914" width="14.85546875" customWidth="1"/>
    <col min="6915" max="6915" width="12.85546875" customWidth="1"/>
    <col min="6916" max="6917" width="12.85546875" bestFit="1" customWidth="1"/>
    <col min="6919" max="6919" width="12.85546875" bestFit="1" customWidth="1"/>
    <col min="7163" max="7163" width="38.85546875" customWidth="1"/>
    <col min="7164" max="7164" width="15.140625" customWidth="1"/>
    <col min="7165" max="7165" width="12.85546875" customWidth="1"/>
    <col min="7166" max="7166" width="16.5703125" customWidth="1"/>
    <col min="7167" max="7167" width="15" customWidth="1"/>
    <col min="7168" max="7168" width="14.85546875" customWidth="1"/>
    <col min="7169" max="7169" width="13.85546875" customWidth="1"/>
    <col min="7170" max="7170" width="14.85546875" customWidth="1"/>
    <col min="7171" max="7171" width="12.85546875" customWidth="1"/>
    <col min="7172" max="7173" width="12.85546875" bestFit="1" customWidth="1"/>
    <col min="7175" max="7175" width="12.85546875" bestFit="1" customWidth="1"/>
    <col min="7419" max="7419" width="38.85546875" customWidth="1"/>
    <col min="7420" max="7420" width="15.140625" customWidth="1"/>
    <col min="7421" max="7421" width="12.85546875" customWidth="1"/>
    <col min="7422" max="7422" width="16.5703125" customWidth="1"/>
    <col min="7423" max="7423" width="15" customWidth="1"/>
    <col min="7424" max="7424" width="14.85546875" customWidth="1"/>
    <col min="7425" max="7425" width="13.85546875" customWidth="1"/>
    <col min="7426" max="7426" width="14.85546875" customWidth="1"/>
    <col min="7427" max="7427" width="12.85546875" customWidth="1"/>
    <col min="7428" max="7429" width="12.85546875" bestFit="1" customWidth="1"/>
    <col min="7431" max="7431" width="12.85546875" bestFit="1" customWidth="1"/>
    <col min="7675" max="7675" width="38.85546875" customWidth="1"/>
    <col min="7676" max="7676" width="15.140625" customWidth="1"/>
    <col min="7677" max="7677" width="12.85546875" customWidth="1"/>
    <col min="7678" max="7678" width="16.5703125" customWidth="1"/>
    <col min="7679" max="7679" width="15" customWidth="1"/>
    <col min="7680" max="7680" width="14.85546875" customWidth="1"/>
    <col min="7681" max="7681" width="13.85546875" customWidth="1"/>
    <col min="7682" max="7682" width="14.85546875" customWidth="1"/>
    <col min="7683" max="7683" width="12.85546875" customWidth="1"/>
    <col min="7684" max="7685" width="12.85546875" bestFit="1" customWidth="1"/>
    <col min="7687" max="7687" width="12.85546875" bestFit="1" customWidth="1"/>
    <col min="7931" max="7931" width="38.85546875" customWidth="1"/>
    <col min="7932" max="7932" width="15.140625" customWidth="1"/>
    <col min="7933" max="7933" width="12.85546875" customWidth="1"/>
    <col min="7934" max="7934" width="16.5703125" customWidth="1"/>
    <col min="7935" max="7935" width="15" customWidth="1"/>
    <col min="7936" max="7936" width="14.85546875" customWidth="1"/>
    <col min="7937" max="7937" width="13.85546875" customWidth="1"/>
    <col min="7938" max="7938" width="14.85546875" customWidth="1"/>
    <col min="7939" max="7939" width="12.85546875" customWidth="1"/>
    <col min="7940" max="7941" width="12.85546875" bestFit="1" customWidth="1"/>
    <col min="7943" max="7943" width="12.85546875" bestFit="1" customWidth="1"/>
    <col min="8187" max="8187" width="38.85546875" customWidth="1"/>
    <col min="8188" max="8188" width="15.140625" customWidth="1"/>
    <col min="8189" max="8189" width="12.85546875" customWidth="1"/>
    <col min="8190" max="8190" width="16.5703125" customWidth="1"/>
    <col min="8191" max="8191" width="15" customWidth="1"/>
    <col min="8192" max="8192" width="14.85546875" customWidth="1"/>
    <col min="8193" max="8193" width="13.85546875" customWidth="1"/>
    <col min="8194" max="8194" width="14.85546875" customWidth="1"/>
    <col min="8195" max="8195" width="12.85546875" customWidth="1"/>
    <col min="8196" max="8197" width="12.85546875" bestFit="1" customWidth="1"/>
    <col min="8199" max="8199" width="12.85546875" bestFit="1" customWidth="1"/>
    <col min="8443" max="8443" width="38.85546875" customWidth="1"/>
    <col min="8444" max="8444" width="15.140625" customWidth="1"/>
    <col min="8445" max="8445" width="12.85546875" customWidth="1"/>
    <col min="8446" max="8446" width="16.5703125" customWidth="1"/>
    <col min="8447" max="8447" width="15" customWidth="1"/>
    <col min="8448" max="8448" width="14.85546875" customWidth="1"/>
    <col min="8449" max="8449" width="13.85546875" customWidth="1"/>
    <col min="8450" max="8450" width="14.85546875" customWidth="1"/>
    <col min="8451" max="8451" width="12.85546875" customWidth="1"/>
    <col min="8452" max="8453" width="12.85546875" bestFit="1" customWidth="1"/>
    <col min="8455" max="8455" width="12.85546875" bestFit="1" customWidth="1"/>
    <col min="8699" max="8699" width="38.85546875" customWidth="1"/>
    <col min="8700" max="8700" width="15.140625" customWidth="1"/>
    <col min="8701" max="8701" width="12.85546875" customWidth="1"/>
    <col min="8702" max="8702" width="16.5703125" customWidth="1"/>
    <col min="8703" max="8703" width="15" customWidth="1"/>
    <col min="8704" max="8704" width="14.85546875" customWidth="1"/>
    <col min="8705" max="8705" width="13.85546875" customWidth="1"/>
    <col min="8706" max="8706" width="14.85546875" customWidth="1"/>
    <col min="8707" max="8707" width="12.85546875" customWidth="1"/>
    <col min="8708" max="8709" width="12.85546875" bestFit="1" customWidth="1"/>
    <col min="8711" max="8711" width="12.85546875" bestFit="1" customWidth="1"/>
    <col min="8955" max="8955" width="38.85546875" customWidth="1"/>
    <col min="8956" max="8956" width="15.140625" customWidth="1"/>
    <col min="8957" max="8957" width="12.85546875" customWidth="1"/>
    <col min="8958" max="8958" width="16.5703125" customWidth="1"/>
    <col min="8959" max="8959" width="15" customWidth="1"/>
    <col min="8960" max="8960" width="14.85546875" customWidth="1"/>
    <col min="8961" max="8961" width="13.85546875" customWidth="1"/>
    <col min="8962" max="8962" width="14.85546875" customWidth="1"/>
    <col min="8963" max="8963" width="12.85546875" customWidth="1"/>
    <col min="8964" max="8965" width="12.85546875" bestFit="1" customWidth="1"/>
    <col min="8967" max="8967" width="12.85546875" bestFit="1" customWidth="1"/>
    <col min="9211" max="9211" width="38.85546875" customWidth="1"/>
    <col min="9212" max="9212" width="15.140625" customWidth="1"/>
    <col min="9213" max="9213" width="12.85546875" customWidth="1"/>
    <col min="9214" max="9214" width="16.5703125" customWidth="1"/>
    <col min="9215" max="9215" width="15" customWidth="1"/>
    <col min="9216" max="9216" width="14.85546875" customWidth="1"/>
    <col min="9217" max="9217" width="13.85546875" customWidth="1"/>
    <col min="9218" max="9218" width="14.85546875" customWidth="1"/>
    <col min="9219" max="9219" width="12.85546875" customWidth="1"/>
    <col min="9220" max="9221" width="12.85546875" bestFit="1" customWidth="1"/>
    <col min="9223" max="9223" width="12.85546875" bestFit="1" customWidth="1"/>
    <col min="9467" max="9467" width="38.85546875" customWidth="1"/>
    <col min="9468" max="9468" width="15.140625" customWidth="1"/>
    <col min="9469" max="9469" width="12.85546875" customWidth="1"/>
    <col min="9470" max="9470" width="16.5703125" customWidth="1"/>
    <col min="9471" max="9471" width="15" customWidth="1"/>
    <col min="9472" max="9472" width="14.85546875" customWidth="1"/>
    <col min="9473" max="9473" width="13.85546875" customWidth="1"/>
    <col min="9474" max="9474" width="14.85546875" customWidth="1"/>
    <col min="9475" max="9475" width="12.85546875" customWidth="1"/>
    <col min="9476" max="9477" width="12.85546875" bestFit="1" customWidth="1"/>
    <col min="9479" max="9479" width="12.85546875" bestFit="1" customWidth="1"/>
    <col min="9723" max="9723" width="38.85546875" customWidth="1"/>
    <col min="9724" max="9724" width="15.140625" customWidth="1"/>
    <col min="9725" max="9725" width="12.85546875" customWidth="1"/>
    <col min="9726" max="9726" width="16.5703125" customWidth="1"/>
    <col min="9727" max="9727" width="15" customWidth="1"/>
    <col min="9728" max="9728" width="14.85546875" customWidth="1"/>
    <col min="9729" max="9729" width="13.85546875" customWidth="1"/>
    <col min="9730" max="9730" width="14.85546875" customWidth="1"/>
    <col min="9731" max="9731" width="12.85546875" customWidth="1"/>
    <col min="9732" max="9733" width="12.85546875" bestFit="1" customWidth="1"/>
    <col min="9735" max="9735" width="12.85546875" bestFit="1" customWidth="1"/>
    <col min="9979" max="9979" width="38.85546875" customWidth="1"/>
    <col min="9980" max="9980" width="15.140625" customWidth="1"/>
    <col min="9981" max="9981" width="12.85546875" customWidth="1"/>
    <col min="9982" max="9982" width="16.5703125" customWidth="1"/>
    <col min="9983" max="9983" width="15" customWidth="1"/>
    <col min="9984" max="9984" width="14.85546875" customWidth="1"/>
    <col min="9985" max="9985" width="13.85546875" customWidth="1"/>
    <col min="9986" max="9986" width="14.85546875" customWidth="1"/>
    <col min="9987" max="9987" width="12.85546875" customWidth="1"/>
    <col min="9988" max="9989" width="12.85546875" bestFit="1" customWidth="1"/>
    <col min="9991" max="9991" width="12.85546875" bestFit="1" customWidth="1"/>
    <col min="10235" max="10235" width="38.85546875" customWidth="1"/>
    <col min="10236" max="10236" width="15.140625" customWidth="1"/>
    <col min="10237" max="10237" width="12.85546875" customWidth="1"/>
    <col min="10238" max="10238" width="16.5703125" customWidth="1"/>
    <col min="10239" max="10239" width="15" customWidth="1"/>
    <col min="10240" max="10240" width="14.85546875" customWidth="1"/>
    <col min="10241" max="10241" width="13.85546875" customWidth="1"/>
    <col min="10242" max="10242" width="14.85546875" customWidth="1"/>
    <col min="10243" max="10243" width="12.85546875" customWidth="1"/>
    <col min="10244" max="10245" width="12.85546875" bestFit="1" customWidth="1"/>
    <col min="10247" max="10247" width="12.85546875" bestFit="1" customWidth="1"/>
    <col min="10491" max="10491" width="38.85546875" customWidth="1"/>
    <col min="10492" max="10492" width="15.140625" customWidth="1"/>
    <col min="10493" max="10493" width="12.85546875" customWidth="1"/>
    <col min="10494" max="10494" width="16.5703125" customWidth="1"/>
    <col min="10495" max="10495" width="15" customWidth="1"/>
    <col min="10496" max="10496" width="14.85546875" customWidth="1"/>
    <col min="10497" max="10497" width="13.85546875" customWidth="1"/>
    <col min="10498" max="10498" width="14.85546875" customWidth="1"/>
    <col min="10499" max="10499" width="12.85546875" customWidth="1"/>
    <col min="10500" max="10501" width="12.85546875" bestFit="1" customWidth="1"/>
    <col min="10503" max="10503" width="12.85546875" bestFit="1" customWidth="1"/>
    <col min="10747" max="10747" width="38.85546875" customWidth="1"/>
    <col min="10748" max="10748" width="15.140625" customWidth="1"/>
    <col min="10749" max="10749" width="12.85546875" customWidth="1"/>
    <col min="10750" max="10750" width="16.5703125" customWidth="1"/>
    <col min="10751" max="10751" width="15" customWidth="1"/>
    <col min="10752" max="10752" width="14.85546875" customWidth="1"/>
    <col min="10753" max="10753" width="13.85546875" customWidth="1"/>
    <col min="10754" max="10754" width="14.85546875" customWidth="1"/>
    <col min="10755" max="10755" width="12.85546875" customWidth="1"/>
    <col min="10756" max="10757" width="12.85546875" bestFit="1" customWidth="1"/>
    <col min="10759" max="10759" width="12.85546875" bestFit="1" customWidth="1"/>
    <col min="11003" max="11003" width="38.85546875" customWidth="1"/>
    <col min="11004" max="11004" width="15.140625" customWidth="1"/>
    <col min="11005" max="11005" width="12.85546875" customWidth="1"/>
    <col min="11006" max="11006" width="16.5703125" customWidth="1"/>
    <col min="11007" max="11007" width="15" customWidth="1"/>
    <col min="11008" max="11008" width="14.85546875" customWidth="1"/>
    <col min="11009" max="11009" width="13.85546875" customWidth="1"/>
    <col min="11010" max="11010" width="14.85546875" customWidth="1"/>
    <col min="11011" max="11011" width="12.85546875" customWidth="1"/>
    <col min="11012" max="11013" width="12.85546875" bestFit="1" customWidth="1"/>
    <col min="11015" max="11015" width="12.85546875" bestFit="1" customWidth="1"/>
    <col min="11259" max="11259" width="38.85546875" customWidth="1"/>
    <col min="11260" max="11260" width="15.140625" customWidth="1"/>
    <col min="11261" max="11261" width="12.85546875" customWidth="1"/>
    <col min="11262" max="11262" width="16.5703125" customWidth="1"/>
    <col min="11263" max="11263" width="15" customWidth="1"/>
    <col min="11264" max="11264" width="14.85546875" customWidth="1"/>
    <col min="11265" max="11265" width="13.85546875" customWidth="1"/>
    <col min="11266" max="11266" width="14.85546875" customWidth="1"/>
    <col min="11267" max="11267" width="12.85546875" customWidth="1"/>
    <col min="11268" max="11269" width="12.85546875" bestFit="1" customWidth="1"/>
    <col min="11271" max="11271" width="12.85546875" bestFit="1" customWidth="1"/>
    <col min="11515" max="11515" width="38.85546875" customWidth="1"/>
    <col min="11516" max="11516" width="15.140625" customWidth="1"/>
    <col min="11517" max="11517" width="12.85546875" customWidth="1"/>
    <col min="11518" max="11518" width="16.5703125" customWidth="1"/>
    <col min="11519" max="11519" width="15" customWidth="1"/>
    <col min="11520" max="11520" width="14.85546875" customWidth="1"/>
    <col min="11521" max="11521" width="13.85546875" customWidth="1"/>
    <col min="11522" max="11522" width="14.85546875" customWidth="1"/>
    <col min="11523" max="11523" width="12.85546875" customWidth="1"/>
    <col min="11524" max="11525" width="12.85546875" bestFit="1" customWidth="1"/>
    <col min="11527" max="11527" width="12.85546875" bestFit="1" customWidth="1"/>
    <col min="11771" max="11771" width="38.85546875" customWidth="1"/>
    <col min="11772" max="11772" width="15.140625" customWidth="1"/>
    <col min="11773" max="11773" width="12.85546875" customWidth="1"/>
    <col min="11774" max="11774" width="16.5703125" customWidth="1"/>
    <col min="11775" max="11775" width="15" customWidth="1"/>
    <col min="11776" max="11776" width="14.85546875" customWidth="1"/>
    <col min="11777" max="11777" width="13.85546875" customWidth="1"/>
    <col min="11778" max="11778" width="14.85546875" customWidth="1"/>
    <col min="11779" max="11779" width="12.85546875" customWidth="1"/>
    <col min="11780" max="11781" width="12.85546875" bestFit="1" customWidth="1"/>
    <col min="11783" max="11783" width="12.85546875" bestFit="1" customWidth="1"/>
    <col min="12027" max="12027" width="38.85546875" customWidth="1"/>
    <col min="12028" max="12028" width="15.140625" customWidth="1"/>
    <col min="12029" max="12029" width="12.85546875" customWidth="1"/>
    <col min="12030" max="12030" width="16.5703125" customWidth="1"/>
    <col min="12031" max="12031" width="15" customWidth="1"/>
    <col min="12032" max="12032" width="14.85546875" customWidth="1"/>
    <col min="12033" max="12033" width="13.85546875" customWidth="1"/>
    <col min="12034" max="12034" width="14.85546875" customWidth="1"/>
    <col min="12035" max="12035" width="12.85546875" customWidth="1"/>
    <col min="12036" max="12037" width="12.85546875" bestFit="1" customWidth="1"/>
    <col min="12039" max="12039" width="12.85546875" bestFit="1" customWidth="1"/>
    <col min="12283" max="12283" width="38.85546875" customWidth="1"/>
    <col min="12284" max="12284" width="15.140625" customWidth="1"/>
    <col min="12285" max="12285" width="12.85546875" customWidth="1"/>
    <col min="12286" max="12286" width="16.5703125" customWidth="1"/>
    <col min="12287" max="12287" width="15" customWidth="1"/>
    <col min="12288" max="12288" width="14.85546875" customWidth="1"/>
    <col min="12289" max="12289" width="13.85546875" customWidth="1"/>
    <col min="12290" max="12290" width="14.85546875" customWidth="1"/>
    <col min="12291" max="12291" width="12.85546875" customWidth="1"/>
    <col min="12292" max="12293" width="12.85546875" bestFit="1" customWidth="1"/>
    <col min="12295" max="12295" width="12.85546875" bestFit="1" customWidth="1"/>
    <col min="12539" max="12539" width="38.85546875" customWidth="1"/>
    <col min="12540" max="12540" width="15.140625" customWidth="1"/>
    <col min="12541" max="12541" width="12.85546875" customWidth="1"/>
    <col min="12542" max="12542" width="16.5703125" customWidth="1"/>
    <col min="12543" max="12543" width="15" customWidth="1"/>
    <col min="12544" max="12544" width="14.85546875" customWidth="1"/>
    <col min="12545" max="12545" width="13.85546875" customWidth="1"/>
    <col min="12546" max="12546" width="14.85546875" customWidth="1"/>
    <col min="12547" max="12547" width="12.85546875" customWidth="1"/>
    <col min="12548" max="12549" width="12.85546875" bestFit="1" customWidth="1"/>
    <col min="12551" max="12551" width="12.85546875" bestFit="1" customWidth="1"/>
    <col min="12795" max="12795" width="38.85546875" customWidth="1"/>
    <col min="12796" max="12796" width="15.140625" customWidth="1"/>
    <col min="12797" max="12797" width="12.85546875" customWidth="1"/>
    <col min="12798" max="12798" width="16.5703125" customWidth="1"/>
    <col min="12799" max="12799" width="15" customWidth="1"/>
    <col min="12800" max="12800" width="14.85546875" customWidth="1"/>
    <col min="12801" max="12801" width="13.85546875" customWidth="1"/>
    <col min="12802" max="12802" width="14.85546875" customWidth="1"/>
    <col min="12803" max="12803" width="12.85546875" customWidth="1"/>
    <col min="12804" max="12805" width="12.85546875" bestFit="1" customWidth="1"/>
    <col min="12807" max="12807" width="12.85546875" bestFit="1" customWidth="1"/>
    <col min="13051" max="13051" width="38.85546875" customWidth="1"/>
    <col min="13052" max="13052" width="15.140625" customWidth="1"/>
    <col min="13053" max="13053" width="12.85546875" customWidth="1"/>
    <col min="13054" max="13054" width="16.5703125" customWidth="1"/>
    <col min="13055" max="13055" width="15" customWidth="1"/>
    <col min="13056" max="13056" width="14.85546875" customWidth="1"/>
    <col min="13057" max="13057" width="13.85546875" customWidth="1"/>
    <col min="13058" max="13058" width="14.85546875" customWidth="1"/>
    <col min="13059" max="13059" width="12.85546875" customWidth="1"/>
    <col min="13060" max="13061" width="12.85546875" bestFit="1" customWidth="1"/>
    <col min="13063" max="13063" width="12.85546875" bestFit="1" customWidth="1"/>
    <col min="13307" max="13307" width="38.85546875" customWidth="1"/>
    <col min="13308" max="13308" width="15.140625" customWidth="1"/>
    <col min="13309" max="13309" width="12.85546875" customWidth="1"/>
    <col min="13310" max="13310" width="16.5703125" customWidth="1"/>
    <col min="13311" max="13311" width="15" customWidth="1"/>
    <col min="13312" max="13312" width="14.85546875" customWidth="1"/>
    <col min="13313" max="13313" width="13.85546875" customWidth="1"/>
    <col min="13314" max="13314" width="14.85546875" customWidth="1"/>
    <col min="13315" max="13315" width="12.85546875" customWidth="1"/>
    <col min="13316" max="13317" width="12.85546875" bestFit="1" customWidth="1"/>
    <col min="13319" max="13319" width="12.85546875" bestFit="1" customWidth="1"/>
    <col min="13563" max="13563" width="38.85546875" customWidth="1"/>
    <col min="13564" max="13564" width="15.140625" customWidth="1"/>
    <col min="13565" max="13565" width="12.85546875" customWidth="1"/>
    <col min="13566" max="13566" width="16.5703125" customWidth="1"/>
    <col min="13567" max="13567" width="15" customWidth="1"/>
    <col min="13568" max="13568" width="14.85546875" customWidth="1"/>
    <col min="13569" max="13569" width="13.85546875" customWidth="1"/>
    <col min="13570" max="13570" width="14.85546875" customWidth="1"/>
    <col min="13571" max="13571" width="12.85546875" customWidth="1"/>
    <col min="13572" max="13573" width="12.85546875" bestFit="1" customWidth="1"/>
    <col min="13575" max="13575" width="12.85546875" bestFit="1" customWidth="1"/>
    <col min="13819" max="13819" width="38.85546875" customWidth="1"/>
    <col min="13820" max="13820" width="15.140625" customWidth="1"/>
    <col min="13821" max="13821" width="12.85546875" customWidth="1"/>
    <col min="13822" max="13822" width="16.5703125" customWidth="1"/>
    <col min="13823" max="13823" width="15" customWidth="1"/>
    <col min="13824" max="13824" width="14.85546875" customWidth="1"/>
    <col min="13825" max="13825" width="13.85546875" customWidth="1"/>
    <col min="13826" max="13826" width="14.85546875" customWidth="1"/>
    <col min="13827" max="13827" width="12.85546875" customWidth="1"/>
    <col min="13828" max="13829" width="12.85546875" bestFit="1" customWidth="1"/>
    <col min="13831" max="13831" width="12.85546875" bestFit="1" customWidth="1"/>
    <col min="14075" max="14075" width="38.85546875" customWidth="1"/>
    <col min="14076" max="14076" width="15.140625" customWidth="1"/>
    <col min="14077" max="14077" width="12.85546875" customWidth="1"/>
    <col min="14078" max="14078" width="16.5703125" customWidth="1"/>
    <col min="14079" max="14079" width="15" customWidth="1"/>
    <col min="14080" max="14080" width="14.85546875" customWidth="1"/>
    <col min="14081" max="14081" width="13.85546875" customWidth="1"/>
    <col min="14082" max="14082" width="14.85546875" customWidth="1"/>
    <col min="14083" max="14083" width="12.85546875" customWidth="1"/>
    <col min="14084" max="14085" width="12.85546875" bestFit="1" customWidth="1"/>
    <col min="14087" max="14087" width="12.85546875" bestFit="1" customWidth="1"/>
    <col min="14331" max="14331" width="38.85546875" customWidth="1"/>
    <col min="14332" max="14332" width="15.140625" customWidth="1"/>
    <col min="14333" max="14333" width="12.85546875" customWidth="1"/>
    <col min="14334" max="14334" width="16.5703125" customWidth="1"/>
    <col min="14335" max="14335" width="15" customWidth="1"/>
    <col min="14336" max="14336" width="14.85546875" customWidth="1"/>
    <col min="14337" max="14337" width="13.85546875" customWidth="1"/>
    <col min="14338" max="14338" width="14.85546875" customWidth="1"/>
    <col min="14339" max="14339" width="12.85546875" customWidth="1"/>
    <col min="14340" max="14341" width="12.85546875" bestFit="1" customWidth="1"/>
    <col min="14343" max="14343" width="12.85546875" bestFit="1" customWidth="1"/>
    <col min="14587" max="14587" width="38.85546875" customWidth="1"/>
    <col min="14588" max="14588" width="15.140625" customWidth="1"/>
    <col min="14589" max="14589" width="12.85546875" customWidth="1"/>
    <col min="14590" max="14590" width="16.5703125" customWidth="1"/>
    <col min="14591" max="14591" width="15" customWidth="1"/>
    <col min="14592" max="14592" width="14.85546875" customWidth="1"/>
    <col min="14593" max="14593" width="13.85546875" customWidth="1"/>
    <col min="14594" max="14594" width="14.85546875" customWidth="1"/>
    <col min="14595" max="14595" width="12.85546875" customWidth="1"/>
    <col min="14596" max="14597" width="12.85546875" bestFit="1" customWidth="1"/>
    <col min="14599" max="14599" width="12.85546875" bestFit="1" customWidth="1"/>
    <col min="14843" max="14843" width="38.85546875" customWidth="1"/>
    <col min="14844" max="14844" width="15.140625" customWidth="1"/>
    <col min="14845" max="14845" width="12.85546875" customWidth="1"/>
    <col min="14846" max="14846" width="16.5703125" customWidth="1"/>
    <col min="14847" max="14847" width="15" customWidth="1"/>
    <col min="14848" max="14848" width="14.85546875" customWidth="1"/>
    <col min="14849" max="14849" width="13.85546875" customWidth="1"/>
    <col min="14850" max="14850" width="14.85546875" customWidth="1"/>
    <col min="14851" max="14851" width="12.85546875" customWidth="1"/>
    <col min="14852" max="14853" width="12.85546875" bestFit="1" customWidth="1"/>
    <col min="14855" max="14855" width="12.85546875" bestFit="1" customWidth="1"/>
    <col min="15099" max="15099" width="38.85546875" customWidth="1"/>
    <col min="15100" max="15100" width="15.140625" customWidth="1"/>
    <col min="15101" max="15101" width="12.85546875" customWidth="1"/>
    <col min="15102" max="15102" width="16.5703125" customWidth="1"/>
    <col min="15103" max="15103" width="15" customWidth="1"/>
    <col min="15104" max="15104" width="14.85546875" customWidth="1"/>
    <col min="15105" max="15105" width="13.85546875" customWidth="1"/>
    <col min="15106" max="15106" width="14.85546875" customWidth="1"/>
    <col min="15107" max="15107" width="12.85546875" customWidth="1"/>
    <col min="15108" max="15109" width="12.85546875" bestFit="1" customWidth="1"/>
    <col min="15111" max="15111" width="12.85546875" bestFit="1" customWidth="1"/>
    <col min="15355" max="15355" width="38.85546875" customWidth="1"/>
    <col min="15356" max="15356" width="15.140625" customWidth="1"/>
    <col min="15357" max="15357" width="12.85546875" customWidth="1"/>
    <col min="15358" max="15358" width="16.5703125" customWidth="1"/>
    <col min="15359" max="15359" width="15" customWidth="1"/>
    <col min="15360" max="15360" width="14.85546875" customWidth="1"/>
    <col min="15361" max="15361" width="13.85546875" customWidth="1"/>
    <col min="15362" max="15362" width="14.85546875" customWidth="1"/>
    <col min="15363" max="15363" width="12.85546875" customWidth="1"/>
    <col min="15364" max="15365" width="12.85546875" bestFit="1" customWidth="1"/>
    <col min="15367" max="15367" width="12.85546875" bestFit="1" customWidth="1"/>
    <col min="15611" max="15611" width="38.85546875" customWidth="1"/>
    <col min="15612" max="15612" width="15.140625" customWidth="1"/>
    <col min="15613" max="15613" width="12.85546875" customWidth="1"/>
    <col min="15614" max="15614" width="16.5703125" customWidth="1"/>
    <col min="15615" max="15615" width="15" customWidth="1"/>
    <col min="15616" max="15616" width="14.85546875" customWidth="1"/>
    <col min="15617" max="15617" width="13.85546875" customWidth="1"/>
    <col min="15618" max="15618" width="14.85546875" customWidth="1"/>
    <col min="15619" max="15619" width="12.85546875" customWidth="1"/>
    <col min="15620" max="15621" width="12.85546875" bestFit="1" customWidth="1"/>
    <col min="15623" max="15623" width="12.85546875" bestFit="1" customWidth="1"/>
    <col min="15867" max="15867" width="38.85546875" customWidth="1"/>
    <col min="15868" max="15868" width="15.140625" customWidth="1"/>
    <col min="15869" max="15869" width="12.85546875" customWidth="1"/>
    <col min="15870" max="15870" width="16.5703125" customWidth="1"/>
    <col min="15871" max="15871" width="15" customWidth="1"/>
    <col min="15872" max="15872" width="14.85546875" customWidth="1"/>
    <col min="15873" max="15873" width="13.85546875" customWidth="1"/>
    <col min="15874" max="15874" width="14.85546875" customWidth="1"/>
    <col min="15875" max="15875" width="12.85546875" customWidth="1"/>
    <col min="15876" max="15877" width="12.85546875" bestFit="1" customWidth="1"/>
    <col min="15879" max="15879" width="12.85546875" bestFit="1" customWidth="1"/>
    <col min="16123" max="16123" width="38.85546875" customWidth="1"/>
    <col min="16124" max="16124" width="15.140625" customWidth="1"/>
    <col min="16125" max="16125" width="12.85546875" customWidth="1"/>
    <col min="16126" max="16126" width="16.5703125" customWidth="1"/>
    <col min="16127" max="16127" width="15" customWidth="1"/>
    <col min="16128" max="16128" width="14.85546875" customWidth="1"/>
    <col min="16129" max="16129" width="13.85546875" customWidth="1"/>
    <col min="16130" max="16130" width="14.85546875" customWidth="1"/>
    <col min="16131" max="16131" width="12.85546875" customWidth="1"/>
    <col min="16132" max="16133" width="12.85546875" bestFit="1" customWidth="1"/>
    <col min="16135" max="16135" width="12.85546875" bestFit="1" customWidth="1"/>
  </cols>
  <sheetData>
    <row r="1" spans="1:7" s="35" customFormat="1" ht="60" customHeight="1" x14ac:dyDescent="0.25">
      <c r="A1" s="201" t="s">
        <v>187</v>
      </c>
      <c r="B1" s="202"/>
      <c r="C1" s="202"/>
      <c r="D1" s="202"/>
      <c r="E1" s="202"/>
      <c r="F1" s="202"/>
      <c r="G1" s="203"/>
    </row>
    <row r="2" spans="1:7" s="35" customFormat="1" ht="13.7" customHeight="1" x14ac:dyDescent="0.25">
      <c r="A2" s="201" t="s">
        <v>133</v>
      </c>
      <c r="B2" s="204"/>
      <c r="C2" s="204"/>
      <c r="D2" s="204"/>
      <c r="E2" s="204"/>
      <c r="F2" s="204"/>
      <c r="G2" s="205"/>
    </row>
    <row r="3" spans="1:7" s="35" customFormat="1" ht="13.7" customHeight="1" x14ac:dyDescent="0.25">
      <c r="A3" s="68"/>
      <c r="B3" s="69"/>
      <c r="C3" s="69"/>
      <c r="D3" s="69"/>
      <c r="E3" s="70"/>
      <c r="F3" s="71"/>
      <c r="G3" s="71"/>
    </row>
    <row r="4" spans="1:7" ht="13.7" customHeight="1" x14ac:dyDescent="0.25">
      <c r="A4" s="44" t="s">
        <v>134</v>
      </c>
      <c r="B4" s="66" t="s">
        <v>381</v>
      </c>
      <c r="C4" s="41" t="s">
        <v>99</v>
      </c>
      <c r="D4" s="72">
        <f>ENCARREGADO!C149</f>
        <v>5170.631311099999</v>
      </c>
      <c r="E4" s="67"/>
      <c r="F4" s="73"/>
      <c r="G4" s="73"/>
    </row>
    <row r="5" spans="1:7" ht="13.7" customHeight="1" x14ac:dyDescent="0.25">
      <c r="C5" s="41" t="s">
        <v>100</v>
      </c>
      <c r="D5" s="72">
        <f>SERVENTE!C148</f>
        <v>5564.9888430000001</v>
      </c>
      <c r="E5" s="73"/>
      <c r="F5" s="73"/>
      <c r="G5" s="73"/>
    </row>
    <row r="6" spans="1:7" ht="13.7" customHeight="1" x14ac:dyDescent="0.25">
      <c r="E6" s="73"/>
      <c r="F6" s="73"/>
      <c r="G6" s="73"/>
    </row>
    <row r="7" spans="1:7" ht="13.7" customHeight="1" x14ac:dyDescent="0.25">
      <c r="A7" s="75" t="s">
        <v>101</v>
      </c>
      <c r="E7" s="73"/>
      <c r="F7" s="73"/>
      <c r="G7" s="73"/>
    </row>
    <row r="8" spans="1:7" ht="13.7" customHeight="1" x14ac:dyDescent="0.25">
      <c r="A8" s="198" t="s">
        <v>102</v>
      </c>
      <c r="B8" s="101">
        <v>1</v>
      </c>
      <c r="C8" s="101">
        <v>2</v>
      </c>
      <c r="D8" s="101" t="s">
        <v>103</v>
      </c>
      <c r="E8" s="73"/>
      <c r="F8" s="65"/>
      <c r="G8" s="73"/>
    </row>
    <row r="9" spans="1:7" ht="25.5" x14ac:dyDescent="0.25">
      <c r="A9" s="198"/>
      <c r="B9" s="102" t="s">
        <v>201</v>
      </c>
      <c r="C9" s="102" t="s">
        <v>202</v>
      </c>
      <c r="D9" s="102" t="s">
        <v>104</v>
      </c>
      <c r="E9" s="73"/>
      <c r="F9" s="67"/>
      <c r="G9" s="73"/>
    </row>
    <row r="10" spans="1:7" ht="13.7" customHeight="1" x14ac:dyDescent="0.25">
      <c r="B10" s="199"/>
      <c r="C10" s="199"/>
      <c r="D10" s="199"/>
      <c r="E10" s="200"/>
      <c r="F10" s="200"/>
      <c r="G10" s="73"/>
    </row>
    <row r="11" spans="1:7" ht="13.7" customHeight="1" x14ac:dyDescent="0.25">
      <c r="A11" s="42" t="s">
        <v>193</v>
      </c>
      <c r="B11" s="41" t="s">
        <v>180</v>
      </c>
      <c r="C11" s="76">
        <f>D4</f>
        <v>5170.631311099999</v>
      </c>
      <c r="D11" s="76">
        <f>C11/19/1200</f>
        <v>0.22678207504824555</v>
      </c>
      <c r="E11" s="73"/>
      <c r="F11" s="77"/>
      <c r="G11" s="73"/>
    </row>
    <row r="12" spans="1:7" ht="13.7" customHeight="1" x14ac:dyDescent="0.25">
      <c r="A12" s="42" t="s">
        <v>197</v>
      </c>
      <c r="B12" s="41" t="s">
        <v>105</v>
      </c>
      <c r="C12" s="76">
        <f>D5</f>
        <v>5564.9888430000001</v>
      </c>
      <c r="D12" s="76">
        <f>C12/1200</f>
        <v>4.6374907025000001</v>
      </c>
      <c r="E12" s="73"/>
      <c r="F12" s="77"/>
      <c r="G12" s="73"/>
    </row>
    <row r="13" spans="1:7" ht="13.7" customHeight="1" x14ac:dyDescent="0.25">
      <c r="A13" s="39"/>
      <c r="B13" s="73"/>
      <c r="C13" s="66" t="s">
        <v>222</v>
      </c>
      <c r="D13" s="72">
        <f>SUM(D11:D12)</f>
        <v>4.8642727775482459</v>
      </c>
      <c r="E13" s="73"/>
      <c r="F13" s="73"/>
      <c r="G13" s="73"/>
    </row>
    <row r="14" spans="1:7" ht="13.7" customHeight="1" x14ac:dyDescent="0.25">
      <c r="E14" s="73"/>
      <c r="F14" s="73"/>
      <c r="G14" s="73"/>
    </row>
    <row r="15" spans="1:7" ht="13.7" customHeight="1" x14ac:dyDescent="0.25">
      <c r="A15" s="42" t="s">
        <v>204</v>
      </c>
      <c r="B15" s="41" t="s">
        <v>181</v>
      </c>
      <c r="C15" s="76">
        <f>D4</f>
        <v>5170.631311099999</v>
      </c>
      <c r="D15" s="76">
        <f>C15/19/2500</f>
        <v>0.10885539602315787</v>
      </c>
      <c r="E15" s="73"/>
      <c r="F15" s="77"/>
      <c r="G15" s="73"/>
    </row>
    <row r="16" spans="1:7" ht="13.7" customHeight="1" x14ac:dyDescent="0.25">
      <c r="A16" s="42" t="s">
        <v>205</v>
      </c>
      <c r="B16" s="78" t="s">
        <v>173</v>
      </c>
      <c r="C16" s="76">
        <f>D5</f>
        <v>5564.9888430000001</v>
      </c>
      <c r="D16" s="76">
        <f>C16/2500</f>
        <v>2.2259955372000002</v>
      </c>
      <c r="E16" s="73"/>
      <c r="F16" s="77"/>
      <c r="G16" s="73"/>
    </row>
    <row r="17" spans="1:7" ht="13.7" customHeight="1" x14ac:dyDescent="0.25">
      <c r="A17" s="39"/>
      <c r="B17" s="73"/>
      <c r="C17" s="66" t="s">
        <v>223</v>
      </c>
      <c r="D17" s="72">
        <f>SUM(D15:D16)+0.01</f>
        <v>2.344850933223158</v>
      </c>
      <c r="E17" s="73"/>
      <c r="F17" s="73"/>
      <c r="G17" s="73"/>
    </row>
    <row r="18" spans="1:7" ht="13.7" customHeight="1" x14ac:dyDescent="0.25">
      <c r="A18" s="39"/>
      <c r="B18" s="73"/>
      <c r="C18" s="73"/>
      <c r="D18" s="73"/>
      <c r="E18" s="73"/>
      <c r="F18" s="73"/>
      <c r="G18" s="73"/>
    </row>
    <row r="19" spans="1:7" ht="13.7" customHeight="1" x14ac:dyDescent="0.25">
      <c r="E19" s="73"/>
      <c r="F19" s="73"/>
      <c r="G19" s="73"/>
    </row>
    <row r="20" spans="1:7" ht="13.7" customHeight="1" x14ac:dyDescent="0.25">
      <c r="A20" s="42" t="s">
        <v>207</v>
      </c>
      <c r="B20" s="41" t="s">
        <v>135</v>
      </c>
      <c r="C20" s="79">
        <f>D4</f>
        <v>5170.631311099999</v>
      </c>
      <c r="D20" s="76">
        <f>C20/19/1500</f>
        <v>0.18142566003859645</v>
      </c>
      <c r="E20" s="73"/>
      <c r="F20" s="73"/>
      <c r="G20" s="73"/>
    </row>
    <row r="21" spans="1:7" ht="13.7" customHeight="1" x14ac:dyDescent="0.25">
      <c r="A21" s="42" t="s">
        <v>208</v>
      </c>
      <c r="B21" s="41" t="s">
        <v>136</v>
      </c>
      <c r="C21" s="79">
        <f>D5</f>
        <v>5564.9888430000001</v>
      </c>
      <c r="D21" s="76">
        <f>C21/1500</f>
        <v>3.709992562</v>
      </c>
      <c r="E21" s="73"/>
      <c r="F21" s="73"/>
      <c r="G21" s="73"/>
    </row>
    <row r="22" spans="1:7" ht="13.7" customHeight="1" x14ac:dyDescent="0.25">
      <c r="C22" s="107" t="s">
        <v>221</v>
      </c>
      <c r="D22" s="72">
        <f>SUM(D20:D21)</f>
        <v>3.8914182220385967</v>
      </c>
      <c r="E22" s="73"/>
      <c r="F22" s="73"/>
      <c r="G22" s="73"/>
    </row>
    <row r="23" spans="1:7" ht="13.7" customHeight="1" x14ac:dyDescent="0.25">
      <c r="E23" s="73"/>
      <c r="F23" s="73"/>
      <c r="G23" s="81"/>
    </row>
    <row r="24" spans="1:7" ht="13.7" customHeight="1" x14ac:dyDescent="0.25">
      <c r="A24" s="42" t="s">
        <v>227</v>
      </c>
      <c r="B24" s="41" t="s">
        <v>177</v>
      </c>
      <c r="C24" s="79">
        <f>D4</f>
        <v>5170.631311099999</v>
      </c>
      <c r="D24" s="76">
        <f>C24/19/300</f>
        <v>0.90712830019298218</v>
      </c>
      <c r="E24" s="73"/>
      <c r="F24" s="80"/>
      <c r="G24" s="73"/>
    </row>
    <row r="25" spans="1:7" ht="13.7" customHeight="1" x14ac:dyDescent="0.25">
      <c r="A25" s="42" t="s">
        <v>228</v>
      </c>
      <c r="B25" s="41" t="s">
        <v>178</v>
      </c>
      <c r="C25" s="79">
        <f>D5</f>
        <v>5564.9888430000001</v>
      </c>
      <c r="D25" s="82">
        <f>C25/300</f>
        <v>18.54996281</v>
      </c>
      <c r="E25" s="73"/>
      <c r="F25" s="80"/>
      <c r="G25" s="73"/>
    </row>
    <row r="26" spans="1:7" ht="13.7" customHeight="1" x14ac:dyDescent="0.25">
      <c r="C26" s="107" t="s">
        <v>106</v>
      </c>
      <c r="D26" s="72">
        <f>SUM(D24:D25)</f>
        <v>19.457091110192984</v>
      </c>
      <c r="E26" s="73"/>
      <c r="F26" s="73"/>
      <c r="G26" s="73"/>
    </row>
    <row r="27" spans="1:7" ht="13.7" customHeight="1" x14ac:dyDescent="0.25">
      <c r="E27" s="73"/>
      <c r="F27" s="73"/>
      <c r="G27" s="83"/>
    </row>
    <row r="28" spans="1:7" ht="13.7" customHeight="1" x14ac:dyDescent="0.25">
      <c r="A28" s="75" t="s">
        <v>108</v>
      </c>
      <c r="E28" s="73"/>
      <c r="F28" s="73"/>
      <c r="G28" s="73"/>
    </row>
    <row r="29" spans="1:7" ht="13.7" customHeight="1" x14ac:dyDescent="0.25">
      <c r="A29" s="198" t="s">
        <v>102</v>
      </c>
      <c r="B29" s="101">
        <v>1</v>
      </c>
      <c r="C29" s="101">
        <v>2</v>
      </c>
      <c r="D29" s="101" t="s">
        <v>103</v>
      </c>
      <c r="E29" s="73"/>
      <c r="F29" s="65"/>
      <c r="G29" s="73"/>
    </row>
    <row r="30" spans="1:7" ht="25.5" x14ac:dyDescent="0.25">
      <c r="A30" s="198"/>
      <c r="B30" s="102" t="s">
        <v>203</v>
      </c>
      <c r="C30" s="102" t="s">
        <v>202</v>
      </c>
      <c r="D30" s="102" t="s">
        <v>104</v>
      </c>
      <c r="E30" s="73"/>
      <c r="F30" s="67"/>
      <c r="G30" s="73"/>
    </row>
    <row r="31" spans="1:7" ht="13.7" customHeight="1" x14ac:dyDescent="0.25">
      <c r="B31" s="199"/>
      <c r="C31" s="199"/>
      <c r="D31" s="199"/>
      <c r="E31" s="200"/>
      <c r="F31" s="200"/>
      <c r="G31" s="73"/>
    </row>
    <row r="32" spans="1:7" ht="13.7" customHeight="1" x14ac:dyDescent="0.25">
      <c r="A32" s="42" t="s">
        <v>194</v>
      </c>
      <c r="B32" s="41" t="s">
        <v>213</v>
      </c>
      <c r="C32" s="79">
        <f>D4</f>
        <v>5170.631311099999</v>
      </c>
      <c r="D32" s="79">
        <f>C32*(1/(19*2000))</f>
        <v>0.13606924502894735</v>
      </c>
      <c r="E32" s="73"/>
      <c r="F32" s="80"/>
      <c r="G32" s="73"/>
    </row>
    <row r="33" spans="1:7" ht="13.7" customHeight="1" x14ac:dyDescent="0.25">
      <c r="A33" s="42" t="s">
        <v>198</v>
      </c>
      <c r="B33" s="84" t="s">
        <v>214</v>
      </c>
      <c r="C33" s="79">
        <f>D5</f>
        <v>5564.9888430000001</v>
      </c>
      <c r="D33" s="79">
        <f>C33*(1/2000)</f>
        <v>2.7824944215</v>
      </c>
      <c r="E33" s="73"/>
      <c r="F33" s="80"/>
      <c r="G33" s="73"/>
    </row>
    <row r="34" spans="1:7" ht="13.7" customHeight="1" x14ac:dyDescent="0.25">
      <c r="A34" s="39"/>
      <c r="B34" s="85"/>
      <c r="C34" s="107" t="s">
        <v>107</v>
      </c>
      <c r="D34" s="72">
        <f>SUM(D32:D33)</f>
        <v>2.9185636665289474</v>
      </c>
      <c r="E34" s="73"/>
      <c r="F34" s="73"/>
      <c r="G34" s="73"/>
    </row>
    <row r="35" spans="1:7" ht="13.7" customHeight="1" x14ac:dyDescent="0.25">
      <c r="E35" s="73"/>
      <c r="F35" s="73"/>
      <c r="G35" s="73"/>
    </row>
    <row r="36" spans="1:7" ht="13.7" customHeight="1" x14ac:dyDescent="0.25">
      <c r="A36" s="42" t="s">
        <v>195</v>
      </c>
      <c r="B36" s="41" t="s">
        <v>174</v>
      </c>
      <c r="C36" s="79">
        <f>D4</f>
        <v>5170.631311099999</v>
      </c>
      <c r="D36" s="79">
        <f>C36*(1/(19*9000))</f>
        <v>3.0237610006432745E-2</v>
      </c>
      <c r="E36" s="73"/>
      <c r="F36" s="80"/>
      <c r="G36" s="73"/>
    </row>
    <row r="37" spans="1:7" ht="13.7" customHeight="1" x14ac:dyDescent="0.25">
      <c r="A37" s="42" t="s">
        <v>199</v>
      </c>
      <c r="B37" s="84" t="s">
        <v>175</v>
      </c>
      <c r="C37" s="79">
        <f>D5</f>
        <v>5564.9888430000001</v>
      </c>
      <c r="D37" s="79">
        <f>C37*(1/9000)</f>
        <v>0.61833209366666675</v>
      </c>
      <c r="E37" s="73"/>
      <c r="F37" s="80"/>
      <c r="G37" s="73"/>
    </row>
    <row r="38" spans="1:7" ht="13.7" customHeight="1" x14ac:dyDescent="0.25">
      <c r="A38" s="39"/>
      <c r="B38" s="85"/>
      <c r="C38" s="107" t="s">
        <v>109</v>
      </c>
      <c r="D38" s="72">
        <f>SUM(D36:D37)</f>
        <v>0.64856970367309952</v>
      </c>
      <c r="E38" s="73"/>
      <c r="F38" s="73"/>
      <c r="G38" s="73"/>
    </row>
    <row r="39" spans="1:7" ht="13.7" customHeight="1" x14ac:dyDescent="0.25">
      <c r="E39" s="73"/>
      <c r="F39" s="73"/>
      <c r="G39" s="73"/>
    </row>
    <row r="40" spans="1:7" ht="13.7" customHeight="1" x14ac:dyDescent="0.25">
      <c r="A40" s="42" t="s">
        <v>209</v>
      </c>
      <c r="B40" s="41" t="s">
        <v>216</v>
      </c>
      <c r="C40" s="79">
        <f>D4</f>
        <v>5170.631311099999</v>
      </c>
      <c r="D40" s="79">
        <f>C40*(1/(19*2700))</f>
        <v>0.10079203335477581</v>
      </c>
      <c r="E40" s="73"/>
      <c r="F40" s="80"/>
      <c r="G40" s="73"/>
    </row>
    <row r="41" spans="1:7" ht="13.7" customHeight="1" x14ac:dyDescent="0.25">
      <c r="A41" s="42" t="s">
        <v>210</v>
      </c>
      <c r="B41" s="84" t="s">
        <v>176</v>
      </c>
      <c r="C41" s="79">
        <f>D5</f>
        <v>5564.9888430000001</v>
      </c>
      <c r="D41" s="79">
        <f>C41*(1/2700)</f>
        <v>2.0611069788888887</v>
      </c>
      <c r="E41" s="73"/>
      <c r="F41" s="80"/>
      <c r="G41" s="73"/>
    </row>
    <row r="42" spans="1:7" ht="13.7" customHeight="1" x14ac:dyDescent="0.25">
      <c r="C42" s="107" t="s">
        <v>110</v>
      </c>
      <c r="D42" s="72">
        <f>D40+D41</f>
        <v>2.1618990122436643</v>
      </c>
      <c r="E42" s="73"/>
      <c r="F42" s="73"/>
      <c r="G42" s="73"/>
    </row>
    <row r="43" spans="1:7" ht="13.7" customHeight="1" x14ac:dyDescent="0.25">
      <c r="E43" s="73"/>
      <c r="F43" s="73"/>
      <c r="G43" s="73"/>
    </row>
    <row r="44" spans="1:7" ht="13.7" customHeight="1" x14ac:dyDescent="0.25">
      <c r="A44" s="42" t="s">
        <v>211</v>
      </c>
      <c r="B44" s="41" t="s">
        <v>217</v>
      </c>
      <c r="C44" s="79">
        <f>D4</f>
        <v>5170.631311099999</v>
      </c>
      <c r="D44" s="196">
        <f>C44*(1/(19*100000))</f>
        <v>2.7213849005789468E-3</v>
      </c>
      <c r="E44" s="73"/>
      <c r="F44" s="73"/>
      <c r="G44" s="73"/>
    </row>
    <row r="45" spans="1:7" ht="13.7" customHeight="1" x14ac:dyDescent="0.25">
      <c r="A45" s="42" t="s">
        <v>212</v>
      </c>
      <c r="B45" s="84" t="s">
        <v>215</v>
      </c>
      <c r="C45" s="79">
        <f>D5</f>
        <v>5564.9888430000001</v>
      </c>
      <c r="D45" s="79">
        <f>C45*(1/100000)</f>
        <v>5.5649888430000002E-2</v>
      </c>
      <c r="E45" s="73"/>
      <c r="F45" s="73"/>
      <c r="G45" s="73"/>
    </row>
    <row r="46" spans="1:7" ht="13.7" customHeight="1" x14ac:dyDescent="0.25">
      <c r="C46" s="107" t="s">
        <v>113</v>
      </c>
      <c r="D46" s="72">
        <f>D44+D45</f>
        <v>5.8371273330578947E-2</v>
      </c>
      <c r="E46" s="73"/>
      <c r="F46" s="73"/>
      <c r="G46" s="73"/>
    </row>
    <row r="47" spans="1:7" ht="13.7" customHeight="1" x14ac:dyDescent="0.25">
      <c r="E47" s="73"/>
      <c r="F47" s="73"/>
      <c r="G47" s="73"/>
    </row>
    <row r="48" spans="1:7" ht="13.7" customHeight="1" x14ac:dyDescent="0.25">
      <c r="A48" s="86" t="s">
        <v>111</v>
      </c>
    </row>
    <row r="49" spans="1:10" ht="13.7" customHeight="1" x14ac:dyDescent="0.25">
      <c r="A49" s="198" t="s">
        <v>102</v>
      </c>
      <c r="B49" s="101">
        <v>1</v>
      </c>
      <c r="C49" s="101">
        <v>2</v>
      </c>
      <c r="D49" s="102">
        <v>3</v>
      </c>
      <c r="E49" s="101">
        <v>4</v>
      </c>
      <c r="F49" s="102">
        <v>5</v>
      </c>
      <c r="G49" s="101">
        <v>6</v>
      </c>
    </row>
    <row r="50" spans="1:10" ht="38.25" x14ac:dyDescent="0.25">
      <c r="A50" s="198"/>
      <c r="B50" s="102" t="s">
        <v>179</v>
      </c>
      <c r="C50" s="102" t="s">
        <v>189</v>
      </c>
      <c r="D50" s="101" t="s">
        <v>112</v>
      </c>
      <c r="E50" s="101" t="s">
        <v>190</v>
      </c>
      <c r="F50" s="101" t="s">
        <v>191</v>
      </c>
      <c r="G50" s="101" t="s">
        <v>192</v>
      </c>
    </row>
    <row r="51" spans="1:10" ht="13.7" customHeight="1" x14ac:dyDescent="0.25">
      <c r="A51" s="42" t="s">
        <v>196</v>
      </c>
      <c r="B51" s="41" t="s">
        <v>218</v>
      </c>
      <c r="C51" s="41">
        <v>16</v>
      </c>
      <c r="D51" s="42" t="s">
        <v>219</v>
      </c>
      <c r="E51" s="42">
        <v>1.1579999999999999E-5</v>
      </c>
      <c r="F51" s="79">
        <f>D4</f>
        <v>5170.631311099999</v>
      </c>
      <c r="G51" s="79">
        <f>E51*F51</f>
        <v>5.9875910582537988E-2</v>
      </c>
    </row>
    <row r="52" spans="1:10" ht="13.7" customHeight="1" x14ac:dyDescent="0.25">
      <c r="A52" s="42" t="s">
        <v>200</v>
      </c>
      <c r="B52" s="41" t="s">
        <v>220</v>
      </c>
      <c r="C52" s="41">
        <v>16</v>
      </c>
      <c r="D52" s="42" t="s">
        <v>219</v>
      </c>
      <c r="E52" s="42">
        <v>2.1990000000000001E-4</v>
      </c>
      <c r="F52" s="79">
        <f>D5</f>
        <v>5564.9888430000001</v>
      </c>
      <c r="G52" s="79">
        <f>E52*F52</f>
        <v>1.2237410465757002</v>
      </c>
    </row>
    <row r="53" spans="1:10" ht="13.7" customHeight="1" x14ac:dyDescent="0.25">
      <c r="F53" s="41" t="s">
        <v>233</v>
      </c>
      <c r="G53" s="87">
        <f>SUM(G51:G52)</f>
        <v>1.2836169571582381</v>
      </c>
    </row>
    <row r="54" spans="1:10" ht="13.7" customHeight="1" x14ac:dyDescent="0.25">
      <c r="F54" s="73"/>
      <c r="G54" s="88"/>
      <c r="J54" s="106"/>
    </row>
    <row r="55" spans="1:10" ht="25.5" x14ac:dyDescent="0.25">
      <c r="A55" s="101" t="s">
        <v>114</v>
      </c>
      <c r="B55" s="101" t="s">
        <v>104</v>
      </c>
      <c r="C55" s="101" t="s">
        <v>182</v>
      </c>
      <c r="D55" s="101" t="s">
        <v>183</v>
      </c>
      <c r="E55" s="101" t="s">
        <v>184</v>
      </c>
    </row>
    <row r="56" spans="1:10" ht="13.7" customHeight="1" x14ac:dyDescent="0.25">
      <c r="A56" s="43"/>
      <c r="B56" s="39"/>
      <c r="C56" s="39"/>
      <c r="D56" s="39"/>
      <c r="E56" s="39"/>
      <c r="J56" s="105"/>
    </row>
    <row r="57" spans="1:10" ht="13.7" customHeight="1" x14ac:dyDescent="0.25">
      <c r="A57" s="42" t="s">
        <v>230</v>
      </c>
      <c r="B57" s="41" t="s">
        <v>231</v>
      </c>
      <c r="C57" s="79">
        <f>D13</f>
        <v>4.8642727775482459</v>
      </c>
      <c r="D57" s="41">
        <v>12183.38</v>
      </c>
      <c r="E57" s="79">
        <f>C57*D57</f>
        <v>59263.283672525744</v>
      </c>
      <c r="J57" s="105"/>
    </row>
    <row r="58" spans="1:10" ht="13.7" customHeight="1" x14ac:dyDescent="0.25">
      <c r="A58" s="42" t="s">
        <v>206</v>
      </c>
      <c r="B58" s="41" t="s">
        <v>232</v>
      </c>
      <c r="C58" s="79">
        <f>D17</f>
        <v>2.344850933223158</v>
      </c>
      <c r="D58" s="42">
        <v>344.28</v>
      </c>
      <c r="E58" s="79">
        <f>C58*D58</f>
        <v>807.28527929006873</v>
      </c>
      <c r="J58" s="105"/>
    </row>
    <row r="59" spans="1:10" ht="13.7" customHeight="1" x14ac:dyDescent="0.25">
      <c r="A59" s="42" t="s">
        <v>115</v>
      </c>
      <c r="B59" s="41" t="s">
        <v>224</v>
      </c>
      <c r="C59" s="79">
        <f>D22</f>
        <v>3.8914182220385967</v>
      </c>
      <c r="D59" s="42">
        <v>216.69</v>
      </c>
      <c r="E59" s="79">
        <f>C59*D59</f>
        <v>843.23141453354356</v>
      </c>
    </row>
    <row r="60" spans="1:10" ht="13.7" customHeight="1" x14ac:dyDescent="0.25">
      <c r="A60" s="42" t="s">
        <v>229</v>
      </c>
      <c r="B60" s="41" t="s">
        <v>225</v>
      </c>
      <c r="C60" s="79">
        <f>D26</f>
        <v>19.457091110192984</v>
      </c>
      <c r="D60" s="42">
        <v>959.26</v>
      </c>
      <c r="E60" s="79">
        <f>C60*D60</f>
        <v>18664.409218363722</v>
      </c>
    </row>
    <row r="61" spans="1:10" ht="13.7" customHeight="1" x14ac:dyDescent="0.25">
      <c r="D61" s="108" t="s">
        <v>116</v>
      </c>
      <c r="E61" s="109">
        <f>SUM(E57:E60)</f>
        <v>79578.209584713069</v>
      </c>
    </row>
    <row r="62" spans="1:10" ht="13.7" customHeight="1" x14ac:dyDescent="0.25">
      <c r="F62" s="73"/>
    </row>
    <row r="63" spans="1:10" ht="25.5" x14ac:dyDescent="0.25">
      <c r="A63" s="101" t="s">
        <v>114</v>
      </c>
      <c r="B63" s="101" t="s">
        <v>104</v>
      </c>
      <c r="C63" s="101" t="s">
        <v>185</v>
      </c>
      <c r="D63" s="101" t="s">
        <v>183</v>
      </c>
      <c r="E63" s="101" t="s">
        <v>184</v>
      </c>
    </row>
    <row r="64" spans="1:10" ht="13.7" customHeight="1" x14ac:dyDescent="0.25">
      <c r="A64" s="41" t="s">
        <v>234</v>
      </c>
      <c r="B64" s="41" t="s">
        <v>226</v>
      </c>
      <c r="C64" s="79">
        <f>D34</f>
        <v>2.9185636665289474</v>
      </c>
      <c r="D64" s="40">
        <v>5690.93</v>
      </c>
      <c r="E64" s="79">
        <f>C64*D64</f>
        <v>16609.341526759585</v>
      </c>
    </row>
    <row r="65" spans="1:10" ht="13.7" customHeight="1" x14ac:dyDescent="0.25">
      <c r="A65" s="41" t="s">
        <v>117</v>
      </c>
      <c r="B65" s="41" t="s">
        <v>118</v>
      </c>
      <c r="C65" s="79">
        <f>D38</f>
        <v>0.64856970367309952</v>
      </c>
      <c r="D65" s="40">
        <v>3605</v>
      </c>
      <c r="E65" s="79">
        <f t="shared" ref="E65:E67" si="0">C65*D65</f>
        <v>2338.0937817415238</v>
      </c>
    </row>
    <row r="66" spans="1:10" ht="13.7" customHeight="1" x14ac:dyDescent="0.25">
      <c r="A66" s="41" t="s">
        <v>237</v>
      </c>
      <c r="B66" s="41" t="s">
        <v>235</v>
      </c>
      <c r="C66" s="79">
        <f>D42</f>
        <v>2.1618990122436643</v>
      </c>
      <c r="D66" s="40">
        <v>876.45</v>
      </c>
      <c r="E66" s="79">
        <f t="shared" si="0"/>
        <v>1894.7963892809596</v>
      </c>
    </row>
    <row r="67" spans="1:10" ht="13.7" customHeight="1" x14ac:dyDescent="0.25">
      <c r="A67" s="42" t="s">
        <v>236</v>
      </c>
      <c r="B67" s="41" t="s">
        <v>121</v>
      </c>
      <c r="C67" s="79">
        <f>D42</f>
        <v>2.1618990122436643</v>
      </c>
      <c r="D67" s="40">
        <v>2109</v>
      </c>
      <c r="E67" s="79">
        <f t="shared" si="0"/>
        <v>4559.4450168218882</v>
      </c>
    </row>
    <row r="68" spans="1:10" ht="13.7" customHeight="1" x14ac:dyDescent="0.25">
      <c r="A68" s="39"/>
      <c r="B68" s="39"/>
      <c r="C68" s="73"/>
      <c r="D68" s="102" t="s">
        <v>119</v>
      </c>
      <c r="E68" s="103">
        <f>SUM(E64:E67)</f>
        <v>25401.676714603956</v>
      </c>
    </row>
    <row r="69" spans="1:10" ht="13.7" customHeight="1" x14ac:dyDescent="0.25">
      <c r="D69" s="74">
        <f>SUM(D64:D67)</f>
        <v>12281.380000000001</v>
      </c>
      <c r="E69" s="73"/>
      <c r="F69" s="73"/>
    </row>
    <row r="70" spans="1:10" ht="25.5" x14ac:dyDescent="0.25">
      <c r="A70" s="101" t="s">
        <v>114</v>
      </c>
      <c r="B70" s="101" t="s">
        <v>185</v>
      </c>
      <c r="C70" s="101"/>
      <c r="D70" s="101" t="s">
        <v>183</v>
      </c>
      <c r="E70" s="101" t="s">
        <v>184</v>
      </c>
    </row>
    <row r="71" spans="1:10" ht="13.7" customHeight="1" x14ac:dyDescent="0.25">
      <c r="A71" s="42" t="s">
        <v>120</v>
      </c>
      <c r="B71" s="42" t="s">
        <v>121</v>
      </c>
      <c r="C71" s="76">
        <f>G53</f>
        <v>1.2836169571582381</v>
      </c>
      <c r="D71" s="89">
        <v>4919.04</v>
      </c>
      <c r="E71" s="79">
        <f>C71*D71</f>
        <v>6314.1631569396595</v>
      </c>
    </row>
    <row r="72" spans="1:10" ht="13.7" customHeight="1" x14ac:dyDescent="0.25">
      <c r="D72" s="102" t="s">
        <v>122</v>
      </c>
      <c r="E72" s="103">
        <f>SUM(E71)</f>
        <v>6314.1631569396595</v>
      </c>
    </row>
    <row r="73" spans="1:10" ht="13.7" customHeight="1" x14ac:dyDescent="0.25"/>
    <row r="74" spans="1:10" ht="13.7" customHeight="1" x14ac:dyDescent="0.25">
      <c r="A74" s="198" t="s">
        <v>186</v>
      </c>
      <c r="B74" s="198"/>
      <c r="C74" s="198"/>
      <c r="D74" s="198"/>
      <c r="E74" s="198"/>
    </row>
    <row r="75" spans="1:10" ht="13.7" customHeight="1" x14ac:dyDescent="0.25">
      <c r="I75" s="197" t="s">
        <v>356</v>
      </c>
      <c r="J75" s="197"/>
    </row>
    <row r="76" spans="1:10" ht="13.7" customHeight="1" x14ac:dyDescent="0.25">
      <c r="A76" s="102" t="s">
        <v>239</v>
      </c>
      <c r="B76" s="103">
        <f>SUM(E61+E68+E72)</f>
        <v>111294.04945625669</v>
      </c>
      <c r="C76" s="90"/>
      <c r="D76" s="102" t="s">
        <v>123</v>
      </c>
      <c r="E76" s="104">
        <f>B76*12</f>
        <v>1335528.5934750803</v>
      </c>
    </row>
    <row r="77" spans="1:10" ht="13.7" customHeight="1" x14ac:dyDescent="0.25">
      <c r="A77" s="67"/>
      <c r="B77" s="88"/>
      <c r="C77" s="90"/>
      <c r="D77" s="67"/>
      <c r="E77" s="110"/>
      <c r="I77" s="184" t="s">
        <v>382</v>
      </c>
      <c r="J77" s="185">
        <f>B76/20</f>
        <v>5564.7024728128345</v>
      </c>
    </row>
    <row r="78" spans="1:10" s="115" customFormat="1" ht="13.7" customHeight="1" x14ac:dyDescent="0.25">
      <c r="A78" s="111" t="s">
        <v>240</v>
      </c>
      <c r="B78" s="112">
        <f>SUM(B76:B76)</f>
        <v>111294.04945625669</v>
      </c>
      <c r="C78" s="113"/>
      <c r="D78" s="111" t="s">
        <v>123</v>
      </c>
      <c r="E78" s="112">
        <f>SUM(E76:E76)</f>
        <v>1335528.5934750803</v>
      </c>
      <c r="F78" s="114"/>
      <c r="G78" s="183"/>
      <c r="I78" s="184" t="s">
        <v>383</v>
      </c>
      <c r="J78" s="186">
        <f>1962.8+1320.87</f>
        <v>3283.67</v>
      </c>
    </row>
    <row r="79" spans="1:10" ht="13.7" customHeight="1" x14ac:dyDescent="0.25">
      <c r="I79" s="188"/>
      <c r="J79" s="189"/>
    </row>
    <row r="80" spans="1:10" ht="25.5" x14ac:dyDescent="0.25">
      <c r="A80" s="102" t="s">
        <v>124</v>
      </c>
      <c r="B80" s="102" t="s">
        <v>5</v>
      </c>
      <c r="C80" s="102" t="s">
        <v>125</v>
      </c>
      <c r="D80" s="102" t="s">
        <v>126</v>
      </c>
      <c r="E80" s="102" t="s">
        <v>127</v>
      </c>
      <c r="F80" s="102" t="s">
        <v>128</v>
      </c>
      <c r="G80" s="75"/>
      <c r="I80" s="187"/>
      <c r="J80" s="190">
        <f>J77/J78</f>
        <v>1.6946594733370997</v>
      </c>
    </row>
    <row r="81" spans="1:10" ht="13.7" customHeight="1" x14ac:dyDescent="0.3">
      <c r="A81" s="41" t="s">
        <v>188</v>
      </c>
      <c r="B81" s="76">
        <f>'INSUMOS-LIMPEZA'!I50</f>
        <v>17548.395</v>
      </c>
      <c r="C81" s="41">
        <v>12</v>
      </c>
      <c r="D81" s="76">
        <f>B81/C81</f>
        <v>1462.36625</v>
      </c>
      <c r="E81" s="41">
        <v>19</v>
      </c>
      <c r="F81" s="76">
        <f>D81/E81</f>
        <v>76.966644736842113</v>
      </c>
      <c r="J81" s="36"/>
    </row>
    <row r="82" spans="1:10" ht="13.7" customHeight="1" x14ac:dyDescent="0.3">
      <c r="A82" s="41" t="s">
        <v>238</v>
      </c>
      <c r="B82" s="76">
        <v>7560.8</v>
      </c>
      <c r="C82" s="41">
        <v>12</v>
      </c>
      <c r="D82" s="76">
        <f>B82/C82</f>
        <v>630.06666666666672</v>
      </c>
      <c r="E82" s="41">
        <v>19</v>
      </c>
      <c r="F82" s="76">
        <f>D82/E82</f>
        <v>33.161403508771933</v>
      </c>
      <c r="G82" s="91"/>
      <c r="J82" s="36"/>
    </row>
    <row r="83" spans="1:10" ht="13.7" customHeight="1" x14ac:dyDescent="0.3">
      <c r="A83" s="206" t="s">
        <v>129</v>
      </c>
      <c r="B83" s="207"/>
      <c r="C83" s="207"/>
      <c r="D83" s="207"/>
      <c r="E83" s="208"/>
      <c r="F83" s="92">
        <f>SUM(F81:F82)</f>
        <v>110.12804824561405</v>
      </c>
      <c r="J83" s="36"/>
    </row>
    <row r="84" spans="1:10" ht="13.7" customHeight="1" x14ac:dyDescent="0.3">
      <c r="B84" s="93"/>
      <c r="D84" s="94"/>
      <c r="F84" s="93"/>
      <c r="J84" s="36"/>
    </row>
    <row r="85" spans="1:10" ht="25.5" x14ac:dyDescent="0.3">
      <c r="A85" s="102" t="s">
        <v>124</v>
      </c>
      <c r="B85" s="102" t="s">
        <v>5</v>
      </c>
      <c r="C85" s="102" t="s">
        <v>125</v>
      </c>
      <c r="D85" s="102" t="s">
        <v>126</v>
      </c>
      <c r="E85" s="102" t="s">
        <v>127</v>
      </c>
      <c r="F85" s="102" t="s">
        <v>128</v>
      </c>
      <c r="J85" s="36"/>
    </row>
    <row r="86" spans="1:10" ht="13.7" customHeight="1" x14ac:dyDescent="0.3">
      <c r="A86" s="41" t="s">
        <v>130</v>
      </c>
      <c r="B86" s="76">
        <v>6890.16</v>
      </c>
      <c r="C86" s="41">
        <v>12</v>
      </c>
      <c r="D86" s="72">
        <f>B86/C86</f>
        <v>574.17999999999995</v>
      </c>
      <c r="E86" s="41">
        <v>19</v>
      </c>
      <c r="F86" s="76">
        <f>D86/E86</f>
        <v>30.22</v>
      </c>
      <c r="J86" s="36"/>
    </row>
    <row r="87" spans="1:10" ht="13.7" customHeight="1" x14ac:dyDescent="0.3">
      <c r="A87" s="41" t="s">
        <v>131</v>
      </c>
      <c r="B87" s="76">
        <v>362.64</v>
      </c>
      <c r="C87" s="41">
        <v>12</v>
      </c>
      <c r="D87" s="72">
        <f>B87/C87</f>
        <v>30.22</v>
      </c>
      <c r="E87" s="41">
        <v>1</v>
      </c>
      <c r="F87" s="76">
        <f>D87/E87</f>
        <v>30.22</v>
      </c>
      <c r="J87" s="36"/>
    </row>
    <row r="88" spans="1:10" ht="13.7" customHeight="1" x14ac:dyDescent="0.3">
      <c r="A88" s="95"/>
      <c r="J88" s="36"/>
    </row>
    <row r="89" spans="1:10" ht="16.5" x14ac:dyDescent="0.3">
      <c r="B89" s="96"/>
      <c r="C89" s="96"/>
      <c r="J89" s="36"/>
    </row>
    <row r="90" spans="1:10" x14ac:dyDescent="0.25">
      <c r="B90" s="96"/>
      <c r="C90" s="96"/>
    </row>
    <row r="91" spans="1:10" x14ac:dyDescent="0.25">
      <c r="B91" s="96"/>
      <c r="C91" s="96"/>
    </row>
    <row r="92" spans="1:10" x14ac:dyDescent="0.25">
      <c r="B92" s="96"/>
      <c r="C92" s="96"/>
    </row>
    <row r="93" spans="1:10" x14ac:dyDescent="0.25">
      <c r="B93" s="96"/>
    </row>
    <row r="94" spans="1:10" x14ac:dyDescent="0.25">
      <c r="B94" s="96"/>
      <c r="E94" s="97"/>
    </row>
    <row r="98" spans="1:6" x14ac:dyDescent="0.25">
      <c r="E98" s="98"/>
    </row>
    <row r="99" spans="1:6" x14ac:dyDescent="0.25">
      <c r="E99" s="99"/>
    </row>
    <row r="100" spans="1:6" x14ac:dyDescent="0.25">
      <c r="E100" s="97"/>
    </row>
    <row r="101" spans="1:6" x14ac:dyDescent="0.25">
      <c r="A101" s="73"/>
      <c r="B101" s="100"/>
      <c r="C101" s="73"/>
      <c r="D101" s="100"/>
      <c r="E101" s="73"/>
      <c r="F101" s="100"/>
    </row>
  </sheetData>
  <mergeCells count="12">
    <mergeCell ref="A1:G1"/>
    <mergeCell ref="A2:G2"/>
    <mergeCell ref="A74:E74"/>
    <mergeCell ref="A83:E83"/>
    <mergeCell ref="A49:A50"/>
    <mergeCell ref="B31:D31"/>
    <mergeCell ref="E31:F31"/>
    <mergeCell ref="I75:J75"/>
    <mergeCell ref="A29:A30"/>
    <mergeCell ref="B10:D10"/>
    <mergeCell ref="E10:F10"/>
    <mergeCell ref="A8:A9"/>
  </mergeCells>
  <phoneticPr fontId="39" type="noConversion"/>
  <pageMargins left="0.27559055118110237" right="0.19685039370078741" top="0.82677165354330717" bottom="0.35433070866141736" header="0.31496062992125984" footer="0.31496062992125984"/>
  <pageSetup paperSize="9" scale="74" orientation="landscape" r:id="rId1"/>
  <rowBreaks count="3" manualBreakCount="3">
    <brk id="26" max="8" man="1"/>
    <brk id="54" max="6" man="1"/>
    <brk id="7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8"/>
  <sheetViews>
    <sheetView showGridLines="0" topLeftCell="A107" zoomScale="115" zoomScaleNormal="115" workbookViewId="0">
      <selection activeCell="E119" sqref="E119"/>
    </sheetView>
  </sheetViews>
  <sheetFormatPr defaultColWidth="9.140625" defaultRowHeight="15.75" x14ac:dyDescent="0.25"/>
  <cols>
    <col min="1" max="1" width="9.140625" style="11"/>
    <col min="2" max="2" width="72.140625" style="11" customWidth="1"/>
    <col min="3" max="3" width="18" style="11" customWidth="1"/>
    <col min="4" max="4" width="14.140625" style="11" customWidth="1"/>
    <col min="5" max="5" width="12.85546875" style="11" customWidth="1"/>
    <col min="6" max="6" width="12" style="11" customWidth="1"/>
    <col min="7" max="7" width="15.140625" style="11" customWidth="1"/>
    <col min="8" max="16384" width="9.140625" style="11"/>
  </cols>
  <sheetData>
    <row r="1" spans="1:10" ht="23.25" x14ac:dyDescent="0.35">
      <c r="A1" s="222" t="s">
        <v>78</v>
      </c>
      <c r="B1" s="222"/>
      <c r="C1" s="222"/>
      <c r="D1" s="222"/>
    </row>
    <row r="2" spans="1:10" ht="23.25" x14ac:dyDescent="0.35">
      <c r="A2" s="222" t="s">
        <v>79</v>
      </c>
      <c r="B2" s="222"/>
      <c r="C2" s="222"/>
      <c r="D2" s="222"/>
    </row>
    <row r="3" spans="1:10" x14ac:dyDescent="0.25">
      <c r="A3" s="224" t="s">
        <v>80</v>
      </c>
      <c r="B3" s="224"/>
      <c r="C3" s="224"/>
      <c r="D3" s="224"/>
    </row>
    <row r="4" spans="1:10" x14ac:dyDescent="0.25">
      <c r="A4" s="14"/>
      <c r="B4" s="14"/>
      <c r="C4" s="14"/>
      <c r="D4" s="14"/>
    </row>
    <row r="5" spans="1:10" ht="15.6" customHeight="1" x14ac:dyDescent="0.25">
      <c r="A5" s="209" t="s">
        <v>82</v>
      </c>
      <c r="B5" s="210"/>
      <c r="C5" s="210"/>
      <c r="D5" s="211"/>
      <c r="E5" s="16"/>
      <c r="F5" s="16"/>
      <c r="G5" s="16"/>
      <c r="H5" s="16"/>
      <c r="I5" s="16"/>
      <c r="J5" s="16"/>
    </row>
    <row r="6" spans="1:10" ht="18.600000000000001" customHeight="1" x14ac:dyDescent="0.25">
      <c r="A6" s="216" t="s">
        <v>241</v>
      </c>
      <c r="B6" s="216"/>
      <c r="C6" s="216"/>
      <c r="D6" s="216"/>
      <c r="E6" s="16"/>
      <c r="F6" s="16"/>
      <c r="G6" s="16"/>
      <c r="H6" s="16"/>
      <c r="I6" s="16"/>
      <c r="J6" s="16"/>
    </row>
    <row r="7" spans="1:10" ht="15.6" customHeight="1" x14ac:dyDescent="0.25">
      <c r="A7" s="216" t="s">
        <v>242</v>
      </c>
      <c r="B7" s="216"/>
      <c r="C7" s="216"/>
      <c r="D7" s="216"/>
      <c r="E7" s="16"/>
      <c r="F7" s="16"/>
      <c r="G7" s="16"/>
      <c r="H7" s="16"/>
      <c r="I7" s="16"/>
      <c r="J7" s="16"/>
    </row>
    <row r="8" spans="1:10" x14ac:dyDescent="0.25">
      <c r="A8" s="212"/>
      <c r="B8" s="213"/>
      <c r="C8" s="213"/>
      <c r="D8" s="214"/>
      <c r="E8" s="17"/>
      <c r="F8" s="17"/>
      <c r="G8" s="17"/>
      <c r="H8" s="17"/>
      <c r="I8" s="17"/>
      <c r="J8" s="17"/>
    </row>
    <row r="9" spans="1:10" x14ac:dyDescent="0.25">
      <c r="A9" s="215" t="s">
        <v>83</v>
      </c>
      <c r="B9" s="215"/>
      <c r="C9" s="215"/>
      <c r="D9" s="215"/>
      <c r="E9" s="21"/>
      <c r="F9" s="21"/>
      <c r="G9" s="21"/>
      <c r="H9" s="21"/>
      <c r="I9" s="21"/>
      <c r="J9" s="21"/>
    </row>
    <row r="10" spans="1:10" x14ac:dyDescent="0.25">
      <c r="A10" s="26" t="s">
        <v>14</v>
      </c>
      <c r="B10" s="27" t="s">
        <v>84</v>
      </c>
      <c r="C10" s="217"/>
      <c r="D10" s="217"/>
      <c r="E10" s="17"/>
      <c r="F10" s="17"/>
      <c r="G10" s="22"/>
      <c r="H10" s="19"/>
      <c r="I10" s="19"/>
      <c r="J10" s="19"/>
    </row>
    <row r="11" spans="1:10" x14ac:dyDescent="0.25">
      <c r="A11" s="26" t="s">
        <v>16</v>
      </c>
      <c r="B11" s="27" t="s">
        <v>85</v>
      </c>
      <c r="C11" s="217" t="s">
        <v>86</v>
      </c>
      <c r="D11" s="217"/>
      <c r="E11" s="20"/>
      <c r="F11" s="20"/>
      <c r="G11" s="22"/>
      <c r="H11" s="21"/>
      <c r="I11" s="21"/>
      <c r="J11" s="21"/>
    </row>
    <row r="12" spans="1:10" ht="42" customHeight="1" x14ac:dyDescent="0.25">
      <c r="A12" s="26" t="s">
        <v>18</v>
      </c>
      <c r="B12" s="27" t="s">
        <v>87</v>
      </c>
      <c r="C12" s="217">
        <v>2022</v>
      </c>
      <c r="D12" s="217"/>
      <c r="E12" s="20"/>
      <c r="F12" s="20"/>
      <c r="G12" s="22"/>
      <c r="H12" s="21"/>
      <c r="I12" s="21"/>
      <c r="J12" s="21"/>
    </row>
    <row r="13" spans="1:10" x14ac:dyDescent="0.25">
      <c r="A13" s="26" t="s">
        <v>20</v>
      </c>
      <c r="B13" s="27" t="s">
        <v>88</v>
      </c>
      <c r="C13" s="217">
        <v>12</v>
      </c>
      <c r="D13" s="217"/>
      <c r="E13" s="17"/>
      <c r="F13" s="17"/>
      <c r="G13" s="22"/>
      <c r="H13" s="21"/>
      <c r="I13" s="21"/>
      <c r="J13" s="21"/>
    </row>
    <row r="14" spans="1:10" s="18" customForma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</row>
    <row r="15" spans="1:10" x14ac:dyDescent="0.25">
      <c r="A15" s="215" t="s">
        <v>89</v>
      </c>
      <c r="B15" s="215"/>
      <c r="C15" s="215"/>
      <c r="D15" s="215"/>
      <c r="E15" s="21"/>
      <c r="F15" s="21"/>
      <c r="G15" s="21"/>
      <c r="H15" s="21"/>
      <c r="I15" s="21"/>
      <c r="J15" s="21"/>
    </row>
    <row r="16" spans="1:10" ht="25.5" x14ac:dyDescent="0.25">
      <c r="A16" s="226" t="s">
        <v>90</v>
      </c>
      <c r="B16" s="226"/>
      <c r="C16" s="23" t="s">
        <v>91</v>
      </c>
      <c r="D16" s="15" t="s">
        <v>92</v>
      </c>
      <c r="E16" s="22"/>
      <c r="F16" s="16"/>
      <c r="G16" s="16"/>
      <c r="H16" s="22"/>
      <c r="I16" s="16"/>
      <c r="J16" s="22"/>
    </row>
    <row r="17" spans="1:10" ht="21" customHeight="1" x14ac:dyDescent="0.25">
      <c r="A17" s="216" t="s">
        <v>94</v>
      </c>
      <c r="B17" s="216"/>
      <c r="C17" s="26" t="s">
        <v>93</v>
      </c>
      <c r="D17" s="26">
        <v>19</v>
      </c>
      <c r="E17" s="22"/>
      <c r="F17" s="20"/>
      <c r="G17" s="20"/>
      <c r="H17" s="22"/>
      <c r="I17" s="17"/>
      <c r="J17" s="22"/>
    </row>
    <row r="18" spans="1:10" x14ac:dyDescent="0.25">
      <c r="A18" s="14"/>
      <c r="B18" s="14"/>
      <c r="C18" s="14"/>
      <c r="D18" s="14"/>
    </row>
    <row r="19" spans="1:10" x14ac:dyDescent="0.25">
      <c r="A19" s="223" t="s">
        <v>11</v>
      </c>
      <c r="B19" s="223"/>
      <c r="C19" s="223"/>
    </row>
    <row r="20" spans="1:10" ht="16.5" thickBot="1" x14ac:dyDescent="0.3"/>
    <row r="21" spans="1:10" ht="16.5" thickBot="1" x14ac:dyDescent="0.3">
      <c r="A21" s="3">
        <v>1</v>
      </c>
      <c r="B21" s="4" t="s">
        <v>12</v>
      </c>
      <c r="C21" s="4" t="s">
        <v>13</v>
      </c>
    </row>
    <row r="22" spans="1:10" ht="16.5" thickBot="1" x14ac:dyDescent="0.3">
      <c r="A22" s="5" t="s">
        <v>14</v>
      </c>
      <c r="B22" s="6" t="s">
        <v>15</v>
      </c>
      <c r="C22" s="25">
        <v>1320.87</v>
      </c>
    </row>
    <row r="23" spans="1:10" ht="16.5" thickBot="1" x14ac:dyDescent="0.3">
      <c r="A23" s="5" t="s">
        <v>16</v>
      </c>
      <c r="B23" s="6" t="s">
        <v>17</v>
      </c>
      <c r="C23" s="25"/>
    </row>
    <row r="24" spans="1:10" ht="16.5" thickBot="1" x14ac:dyDescent="0.3">
      <c r="A24" s="5" t="s">
        <v>18</v>
      </c>
      <c r="B24" s="6" t="s">
        <v>19</v>
      </c>
      <c r="C24" s="25"/>
    </row>
    <row r="25" spans="1:10" ht="16.5" thickBot="1" x14ac:dyDescent="0.3">
      <c r="A25" s="5" t="s">
        <v>20</v>
      </c>
      <c r="B25" s="6" t="s">
        <v>0</v>
      </c>
      <c r="C25" s="25"/>
    </row>
    <row r="26" spans="1:10" ht="16.5" thickBot="1" x14ac:dyDescent="0.3">
      <c r="A26" s="5" t="s">
        <v>21</v>
      </c>
      <c r="B26" s="6" t="s">
        <v>22</v>
      </c>
      <c r="C26" s="25"/>
    </row>
    <row r="27" spans="1:10" ht="16.5" thickBot="1" x14ac:dyDescent="0.3">
      <c r="A27" s="5"/>
      <c r="B27" s="6"/>
      <c r="C27" s="25"/>
    </row>
    <row r="28" spans="1:10" ht="16.5" thickBot="1" x14ac:dyDescent="0.3">
      <c r="A28" s="5" t="s">
        <v>24</v>
      </c>
      <c r="B28" s="6" t="s">
        <v>25</v>
      </c>
      <c r="C28" s="25"/>
    </row>
    <row r="29" spans="1:10" ht="16.5" thickBot="1" x14ac:dyDescent="0.3">
      <c r="A29" s="218" t="s">
        <v>1</v>
      </c>
      <c r="B29" s="219"/>
      <c r="C29" s="29">
        <f>SUM(C22:C28)</f>
        <v>1320.87</v>
      </c>
      <c r="E29" s="11">
        <f>C29*3.5</f>
        <v>4623.0450000000001</v>
      </c>
    </row>
    <row r="30" spans="1:10" x14ac:dyDescent="0.25">
      <c r="E30" s="45">
        <f>E29-C148</f>
        <v>-941.94384300000002</v>
      </c>
    </row>
    <row r="31" spans="1:10" x14ac:dyDescent="0.25">
      <c r="A31" s="220" t="s">
        <v>26</v>
      </c>
      <c r="B31" s="220"/>
      <c r="C31" s="220"/>
    </row>
    <row r="32" spans="1:10" x14ac:dyDescent="0.25">
      <c r="A32" s="2"/>
    </row>
    <row r="33" spans="1:6" x14ac:dyDescent="0.25">
      <c r="A33" s="221" t="s">
        <v>27</v>
      </c>
      <c r="B33" s="221"/>
      <c r="C33" s="221"/>
    </row>
    <row r="34" spans="1:6" ht="16.5" thickBot="1" x14ac:dyDescent="0.3"/>
    <row r="35" spans="1:6" ht="16.5" thickBot="1" x14ac:dyDescent="0.3">
      <c r="A35" s="3" t="s">
        <v>28</v>
      </c>
      <c r="B35" s="4" t="s">
        <v>29</v>
      </c>
      <c r="C35" s="4" t="s">
        <v>13</v>
      </c>
    </row>
    <row r="36" spans="1:6" ht="16.5" thickBot="1" x14ac:dyDescent="0.3">
      <c r="A36" s="5" t="s">
        <v>14</v>
      </c>
      <c r="B36" s="6" t="s">
        <v>30</v>
      </c>
      <c r="C36" s="24">
        <f>C22*8.33%</f>
        <v>110.028471</v>
      </c>
    </row>
    <row r="37" spans="1:6" ht="16.5" thickBot="1" x14ac:dyDescent="0.3">
      <c r="A37" s="5" t="s">
        <v>16</v>
      </c>
      <c r="B37" s="6" t="s">
        <v>96</v>
      </c>
      <c r="C37" s="24">
        <f>C22*11.11%</f>
        <v>146.74865699999998</v>
      </c>
    </row>
    <row r="38" spans="1:6" ht="16.5" thickBot="1" x14ac:dyDescent="0.3">
      <c r="A38" s="218" t="s">
        <v>1</v>
      </c>
      <c r="B38" s="219"/>
      <c r="C38" s="30">
        <f>SUM(C36:C37)</f>
        <v>256.77712799999995</v>
      </c>
    </row>
    <row r="41" spans="1:6" ht="32.25" customHeight="1" x14ac:dyDescent="0.25">
      <c r="A41" s="225" t="s">
        <v>31</v>
      </c>
      <c r="B41" s="225"/>
      <c r="C41" s="225"/>
      <c r="D41" s="225"/>
    </row>
    <row r="42" spans="1:6" ht="16.5" thickBot="1" x14ac:dyDescent="0.3"/>
    <row r="43" spans="1:6" ht="16.5" thickBot="1" x14ac:dyDescent="0.3">
      <c r="A43" s="3" t="s">
        <v>32</v>
      </c>
      <c r="B43" s="4" t="s">
        <v>33</v>
      </c>
      <c r="C43" s="4" t="s">
        <v>34</v>
      </c>
      <c r="D43" s="4" t="s">
        <v>13</v>
      </c>
    </row>
    <row r="44" spans="1:6" ht="16.5" thickBot="1" x14ac:dyDescent="0.3">
      <c r="A44" s="5" t="s">
        <v>14</v>
      </c>
      <c r="B44" s="6" t="s">
        <v>35</v>
      </c>
      <c r="C44" s="8">
        <v>0.2</v>
      </c>
      <c r="D44" s="24">
        <f>$C$22*C44</f>
        <v>264.17399999999998</v>
      </c>
      <c r="F44" s="28"/>
    </row>
    <row r="45" spans="1:6" ht="16.5" thickBot="1" x14ac:dyDescent="0.3">
      <c r="A45" s="5" t="s">
        <v>16</v>
      </c>
      <c r="B45" s="6" t="s">
        <v>36</v>
      </c>
      <c r="C45" s="8">
        <v>2.5000000000000001E-2</v>
      </c>
      <c r="D45" s="24">
        <f t="shared" ref="D45:D51" si="0">$C$22*C45</f>
        <v>33.021749999999997</v>
      </c>
      <c r="F45" s="28"/>
    </row>
    <row r="46" spans="1:6" s="157" customFormat="1" ht="16.5" thickBot="1" x14ac:dyDescent="0.3">
      <c r="A46" s="174" t="s">
        <v>18</v>
      </c>
      <c r="B46" s="175" t="s">
        <v>37</v>
      </c>
      <c r="C46" s="176">
        <v>2.5499999999999998E-2</v>
      </c>
      <c r="D46" s="177">
        <f>$C$22*C46</f>
        <v>33.682184999999997</v>
      </c>
      <c r="F46" s="158"/>
    </row>
    <row r="47" spans="1:6" ht="16.5" thickBot="1" x14ac:dyDescent="0.3">
      <c r="A47" s="5" t="s">
        <v>20</v>
      </c>
      <c r="B47" s="6" t="s">
        <v>38</v>
      </c>
      <c r="C47" s="8">
        <v>1.4999999999999999E-2</v>
      </c>
      <c r="D47" s="24">
        <f t="shared" si="0"/>
        <v>19.813049999999997</v>
      </c>
      <c r="F47" s="28"/>
    </row>
    <row r="48" spans="1:6" ht="16.5" thickBot="1" x14ac:dyDescent="0.3">
      <c r="A48" s="5" t="s">
        <v>21</v>
      </c>
      <c r="B48" s="6" t="s">
        <v>39</v>
      </c>
      <c r="C48" s="8">
        <v>0.01</v>
      </c>
      <c r="D48" s="24">
        <f t="shared" si="0"/>
        <v>13.208699999999999</v>
      </c>
      <c r="F48" s="28"/>
    </row>
    <row r="49" spans="1:6" ht="16.5" thickBot="1" x14ac:dyDescent="0.3">
      <c r="A49" s="5" t="s">
        <v>23</v>
      </c>
      <c r="B49" s="6" t="s">
        <v>2</v>
      </c>
      <c r="C49" s="8">
        <v>6.0000000000000001E-3</v>
      </c>
      <c r="D49" s="24">
        <f t="shared" si="0"/>
        <v>7.9252199999999995</v>
      </c>
      <c r="F49" s="28"/>
    </row>
    <row r="50" spans="1:6" ht="16.5" thickBot="1" x14ac:dyDescent="0.3">
      <c r="A50" s="5" t="s">
        <v>24</v>
      </c>
      <c r="B50" s="6" t="s">
        <v>3</v>
      </c>
      <c r="C50" s="8">
        <v>2E-3</v>
      </c>
      <c r="D50" s="24">
        <f t="shared" si="0"/>
        <v>2.64174</v>
      </c>
      <c r="F50" s="28"/>
    </row>
    <row r="51" spans="1:6" ht="16.5" thickBot="1" x14ac:dyDescent="0.3">
      <c r="A51" s="5" t="s">
        <v>40</v>
      </c>
      <c r="B51" s="6" t="s">
        <v>4</v>
      </c>
      <c r="C51" s="8">
        <v>0.08</v>
      </c>
      <c r="D51" s="24">
        <f t="shared" si="0"/>
        <v>105.66959999999999</v>
      </c>
      <c r="F51" s="28"/>
    </row>
    <row r="52" spans="1:6" ht="16.5" thickBot="1" x14ac:dyDescent="0.3">
      <c r="A52" s="218" t="s">
        <v>41</v>
      </c>
      <c r="B52" s="219"/>
      <c r="C52" s="31">
        <f>SUM(C44:C51)</f>
        <v>0.36350000000000005</v>
      </c>
      <c r="D52" s="30">
        <f>SUM(D44:D51)</f>
        <v>480.13624500000003</v>
      </c>
      <c r="F52" s="18"/>
    </row>
    <row r="55" spans="1:6" x14ac:dyDescent="0.25">
      <c r="A55" s="221" t="s">
        <v>42</v>
      </c>
      <c r="B55" s="221"/>
      <c r="C55" s="221"/>
    </row>
    <row r="56" spans="1:6" ht="16.5" thickBot="1" x14ac:dyDescent="0.3"/>
    <row r="57" spans="1:6" ht="16.5" thickBot="1" x14ac:dyDescent="0.3">
      <c r="A57" s="3" t="s">
        <v>43</v>
      </c>
      <c r="B57" s="4" t="s">
        <v>44</v>
      </c>
      <c r="C57" s="4" t="s">
        <v>13</v>
      </c>
    </row>
    <row r="58" spans="1:6" ht="16.5" thickBot="1" x14ac:dyDescent="0.3">
      <c r="A58" s="5" t="s">
        <v>14</v>
      </c>
      <c r="B58" s="6" t="s">
        <v>376</v>
      </c>
      <c r="C58" s="24">
        <f>(44*4)-(C29*0.06)</f>
        <v>96.747800000000012</v>
      </c>
    </row>
    <row r="59" spans="1:6" ht="26.25" thickBot="1" x14ac:dyDescent="0.3">
      <c r="A59" s="5" t="s">
        <v>16</v>
      </c>
      <c r="B59" s="178" t="s">
        <v>386</v>
      </c>
      <c r="C59" s="24">
        <f>(23.5*22)*90%</f>
        <v>465.3</v>
      </c>
    </row>
    <row r="60" spans="1:6" s="157" customFormat="1" ht="26.25" thickBot="1" x14ac:dyDescent="0.3">
      <c r="A60" s="174" t="s">
        <v>18</v>
      </c>
      <c r="B60" s="178" t="s">
        <v>363</v>
      </c>
      <c r="C60" s="177">
        <v>19.899999999999999</v>
      </c>
    </row>
    <row r="61" spans="1:6" s="157" customFormat="1" ht="26.25" thickBot="1" x14ac:dyDescent="0.3">
      <c r="A61" s="174" t="s">
        <v>20</v>
      </c>
      <c r="B61" s="178" t="s">
        <v>378</v>
      </c>
      <c r="C61" s="177">
        <v>6</v>
      </c>
    </row>
    <row r="62" spans="1:6" ht="16.5" thickBot="1" x14ac:dyDescent="0.3">
      <c r="A62" s="218" t="s">
        <v>1</v>
      </c>
      <c r="B62" s="219"/>
      <c r="C62" s="30">
        <f>SUM(C58:C61)</f>
        <v>587.94780000000003</v>
      </c>
    </row>
    <row r="65" spans="1:3" x14ac:dyDescent="0.25">
      <c r="A65" s="221" t="s">
        <v>45</v>
      </c>
      <c r="B65" s="221"/>
      <c r="C65" s="221"/>
    </row>
    <row r="66" spans="1:3" ht="16.5" thickBot="1" x14ac:dyDescent="0.3"/>
    <row r="67" spans="1:3" ht="16.5" thickBot="1" x14ac:dyDescent="0.3">
      <c r="A67" s="3">
        <v>2</v>
      </c>
      <c r="B67" s="4" t="s">
        <v>46</v>
      </c>
      <c r="C67" s="4" t="s">
        <v>13</v>
      </c>
    </row>
    <row r="68" spans="1:3" ht="16.5" thickBot="1" x14ac:dyDescent="0.3">
      <c r="A68" s="5" t="s">
        <v>28</v>
      </c>
      <c r="B68" s="6" t="s">
        <v>29</v>
      </c>
      <c r="C68" s="24">
        <f>C38</f>
        <v>256.77712799999995</v>
      </c>
    </row>
    <row r="69" spans="1:3" ht="16.5" thickBot="1" x14ac:dyDescent="0.3">
      <c r="A69" s="5" t="s">
        <v>32</v>
      </c>
      <c r="B69" s="6" t="s">
        <v>33</v>
      </c>
      <c r="C69" s="24">
        <f>D52</f>
        <v>480.13624500000003</v>
      </c>
    </row>
    <row r="70" spans="1:3" ht="16.5" thickBot="1" x14ac:dyDescent="0.3">
      <c r="A70" s="5" t="s">
        <v>43</v>
      </c>
      <c r="B70" s="6" t="s">
        <v>44</v>
      </c>
      <c r="C70" s="24">
        <f>C62</f>
        <v>587.94780000000003</v>
      </c>
    </row>
    <row r="71" spans="1:3" ht="16.5" thickBot="1" x14ac:dyDescent="0.3">
      <c r="A71" s="218" t="s">
        <v>1</v>
      </c>
      <c r="B71" s="219"/>
      <c r="C71" s="29">
        <f>SUM(C68:C70)</f>
        <v>1324.861173</v>
      </c>
    </row>
    <row r="72" spans="1:3" x14ac:dyDescent="0.25">
      <c r="A72" s="1"/>
    </row>
    <row r="74" spans="1:3" x14ac:dyDescent="0.25">
      <c r="A74" s="220" t="s">
        <v>47</v>
      </c>
      <c r="B74" s="220"/>
      <c r="C74" s="220"/>
    </row>
    <row r="75" spans="1:3" ht="16.5" thickBot="1" x14ac:dyDescent="0.3"/>
    <row r="76" spans="1:3" ht="16.5" thickBot="1" x14ac:dyDescent="0.3">
      <c r="A76" s="3">
        <v>3</v>
      </c>
      <c r="B76" s="4" t="s">
        <v>48</v>
      </c>
      <c r="C76" s="4" t="s">
        <v>13</v>
      </c>
    </row>
    <row r="77" spans="1:3" ht="16.5" thickBot="1" x14ac:dyDescent="0.3">
      <c r="A77" s="5" t="s">
        <v>14</v>
      </c>
      <c r="B77" s="9" t="s">
        <v>49</v>
      </c>
      <c r="C77" s="34">
        <v>5.5</v>
      </c>
    </row>
    <row r="78" spans="1:3" ht="16.5" thickBot="1" x14ac:dyDescent="0.3">
      <c r="A78" s="5" t="s">
        <v>16</v>
      </c>
      <c r="B78" s="9" t="s">
        <v>50</v>
      </c>
      <c r="C78" s="34">
        <f>C77*8%</f>
        <v>0.44</v>
      </c>
    </row>
    <row r="79" spans="1:3" ht="16.5" thickBot="1" x14ac:dyDescent="0.3">
      <c r="A79" s="5" t="s">
        <v>18</v>
      </c>
      <c r="B79" s="9" t="s">
        <v>51</v>
      </c>
      <c r="C79" s="34">
        <f>C29*3%</f>
        <v>39.626099999999994</v>
      </c>
    </row>
    <row r="80" spans="1:3" ht="16.5" thickBot="1" x14ac:dyDescent="0.3">
      <c r="A80" s="5" t="s">
        <v>20</v>
      </c>
      <c r="B80" s="9" t="s">
        <v>52</v>
      </c>
      <c r="C80" s="34">
        <v>25.62</v>
      </c>
    </row>
    <row r="81" spans="1:5" ht="16.5" thickBot="1" x14ac:dyDescent="0.3">
      <c r="A81" s="5" t="s">
        <v>21</v>
      </c>
      <c r="B81" s="9" t="s">
        <v>53</v>
      </c>
      <c r="C81" s="24">
        <f>C80*C52</f>
        <v>9.312870000000002</v>
      </c>
    </row>
    <row r="82" spans="1:5" ht="16.5" thickBot="1" x14ac:dyDescent="0.3">
      <c r="A82" s="5" t="s">
        <v>23</v>
      </c>
      <c r="B82" s="9" t="s">
        <v>54</v>
      </c>
      <c r="C82" s="24">
        <f>C29*1%</f>
        <v>13.208699999999999</v>
      </c>
    </row>
    <row r="83" spans="1:5" ht="16.5" thickBot="1" x14ac:dyDescent="0.3">
      <c r="A83" s="218" t="s">
        <v>1</v>
      </c>
      <c r="B83" s="219"/>
      <c r="C83" s="30">
        <f>SUM(C77:C82)</f>
        <v>93.707669999999993</v>
      </c>
    </row>
    <row r="86" spans="1:5" x14ac:dyDescent="0.25">
      <c r="A86" s="220" t="s">
        <v>55</v>
      </c>
      <c r="B86" s="220"/>
      <c r="C86" s="220"/>
    </row>
    <row r="89" spans="1:5" x14ac:dyDescent="0.25">
      <c r="A89" s="221" t="s">
        <v>56</v>
      </c>
      <c r="B89" s="221"/>
      <c r="C89" s="221"/>
    </row>
    <row r="90" spans="1:5" ht="16.5" thickBot="1" x14ac:dyDescent="0.3">
      <c r="A90" s="2"/>
    </row>
    <row r="91" spans="1:5" ht="16.5" thickBot="1" x14ac:dyDescent="0.3">
      <c r="A91" s="3" t="s">
        <v>57</v>
      </c>
      <c r="B91" s="4" t="s">
        <v>58</v>
      </c>
      <c r="C91" s="4" t="s">
        <v>13</v>
      </c>
    </row>
    <row r="92" spans="1:5" ht="16.5" thickBot="1" x14ac:dyDescent="0.3">
      <c r="A92" s="5" t="s">
        <v>14</v>
      </c>
      <c r="B92" s="6" t="s">
        <v>370</v>
      </c>
      <c r="C92" s="193">
        <v>190.05</v>
      </c>
      <c r="E92" s="173"/>
    </row>
    <row r="93" spans="1:5" ht="16.5" thickBot="1" x14ac:dyDescent="0.3">
      <c r="A93" s="5" t="s">
        <v>16</v>
      </c>
      <c r="B93" s="6" t="s">
        <v>58</v>
      </c>
      <c r="C93" s="34">
        <v>3.7</v>
      </c>
    </row>
    <row r="94" spans="1:5" ht="16.5" thickBot="1" x14ac:dyDescent="0.3">
      <c r="A94" s="5" t="s">
        <v>18</v>
      </c>
      <c r="B94" s="6" t="s">
        <v>59</v>
      </c>
      <c r="C94" s="34">
        <v>0.53</v>
      </c>
    </row>
    <row r="95" spans="1:5" ht="16.5" thickBot="1" x14ac:dyDescent="0.3">
      <c r="A95" s="5" t="s">
        <v>20</v>
      </c>
      <c r="B95" s="6" t="s">
        <v>60</v>
      </c>
      <c r="C95" s="34">
        <v>0.4</v>
      </c>
    </row>
    <row r="96" spans="1:5" ht="16.5" thickBot="1" x14ac:dyDescent="0.3">
      <c r="A96" s="5" t="s">
        <v>21</v>
      </c>
      <c r="B96" s="6" t="s">
        <v>61</v>
      </c>
      <c r="C96" s="34">
        <v>0.26</v>
      </c>
    </row>
    <row r="97" spans="1:3" ht="16.5" thickBot="1" x14ac:dyDescent="0.3">
      <c r="A97" s="5" t="s">
        <v>23</v>
      </c>
      <c r="B97" s="6" t="s">
        <v>25</v>
      </c>
      <c r="C97" s="34">
        <v>0</v>
      </c>
    </row>
    <row r="98" spans="1:3" ht="16.5" thickBot="1" x14ac:dyDescent="0.3">
      <c r="A98" s="218" t="s">
        <v>41</v>
      </c>
      <c r="B98" s="219"/>
      <c r="C98" s="30">
        <f>SUM(C92:C97)</f>
        <v>194.94</v>
      </c>
    </row>
    <row r="101" spans="1:3" x14ac:dyDescent="0.25">
      <c r="A101" s="221" t="s">
        <v>62</v>
      </c>
      <c r="B101" s="221"/>
      <c r="C101" s="221"/>
    </row>
    <row r="102" spans="1:3" ht="16.5" thickBot="1" x14ac:dyDescent="0.3">
      <c r="A102" s="2"/>
    </row>
    <row r="103" spans="1:3" ht="16.5" thickBot="1" x14ac:dyDescent="0.3">
      <c r="A103" s="3" t="s">
        <v>63</v>
      </c>
      <c r="B103" s="4" t="s">
        <v>64</v>
      </c>
      <c r="C103" s="4" t="s">
        <v>13</v>
      </c>
    </row>
    <row r="104" spans="1:3" ht="16.5" thickBot="1" x14ac:dyDescent="0.3">
      <c r="A104" s="5" t="s">
        <v>14</v>
      </c>
      <c r="B104" s="6" t="s">
        <v>81</v>
      </c>
      <c r="C104" s="24">
        <v>0</v>
      </c>
    </row>
    <row r="105" spans="1:3" ht="16.5" thickBot="1" x14ac:dyDescent="0.3">
      <c r="A105" s="218" t="s">
        <v>1</v>
      </c>
      <c r="B105" s="219"/>
      <c r="C105" s="30">
        <v>0</v>
      </c>
    </row>
    <row r="108" spans="1:3" x14ac:dyDescent="0.25">
      <c r="A108" s="221" t="s">
        <v>65</v>
      </c>
      <c r="B108" s="221"/>
      <c r="C108" s="221"/>
    </row>
    <row r="109" spans="1:3" ht="16.5" thickBot="1" x14ac:dyDescent="0.3">
      <c r="A109" s="2"/>
    </row>
    <row r="110" spans="1:3" ht="16.5" thickBot="1" x14ac:dyDescent="0.3">
      <c r="A110" s="3">
        <v>4</v>
      </c>
      <c r="B110" s="4" t="s">
        <v>66</v>
      </c>
      <c r="C110" s="4" t="s">
        <v>13</v>
      </c>
    </row>
    <row r="111" spans="1:3" ht="16.5" thickBot="1" x14ac:dyDescent="0.3">
      <c r="A111" s="5" t="s">
        <v>57</v>
      </c>
      <c r="B111" s="6" t="s">
        <v>58</v>
      </c>
      <c r="C111" s="24">
        <f>C98</f>
        <v>194.94</v>
      </c>
    </row>
    <row r="112" spans="1:3" ht="16.5" thickBot="1" x14ac:dyDescent="0.3">
      <c r="A112" s="5" t="s">
        <v>63</v>
      </c>
      <c r="B112" s="6" t="s">
        <v>64</v>
      </c>
      <c r="C112" s="24">
        <f>C105</f>
        <v>0</v>
      </c>
    </row>
    <row r="113" spans="1:4" ht="16.5" thickBot="1" x14ac:dyDescent="0.3">
      <c r="A113" s="218" t="s">
        <v>1</v>
      </c>
      <c r="B113" s="219"/>
      <c r="C113" s="30">
        <f>SUM(C111:C112)</f>
        <v>194.94</v>
      </c>
    </row>
    <row r="116" spans="1:4" x14ac:dyDescent="0.25">
      <c r="A116" s="220" t="s">
        <v>67</v>
      </c>
      <c r="B116" s="220"/>
      <c r="C116" s="220"/>
    </row>
    <row r="117" spans="1:4" ht="16.5" thickBot="1" x14ac:dyDescent="0.3"/>
    <row r="118" spans="1:4" ht="16.5" thickBot="1" x14ac:dyDescent="0.3">
      <c r="A118" s="3">
        <v>5</v>
      </c>
      <c r="B118" s="10" t="s">
        <v>6</v>
      </c>
      <c r="C118" s="4" t="s">
        <v>13</v>
      </c>
    </row>
    <row r="119" spans="1:4" ht="16.5" thickBot="1" x14ac:dyDescent="0.3">
      <c r="A119" s="5" t="s">
        <v>14</v>
      </c>
      <c r="B119" s="6" t="s">
        <v>68</v>
      </c>
      <c r="C119" s="34">
        <v>30.22</v>
      </c>
    </row>
    <row r="120" spans="1:4" ht="16.5" thickBot="1" x14ac:dyDescent="0.3">
      <c r="A120" s="5" t="s">
        <v>16</v>
      </c>
      <c r="B120" s="6" t="s">
        <v>69</v>
      </c>
      <c r="C120" s="182">
        <v>923.6</v>
      </c>
    </row>
    <row r="121" spans="1:4" ht="16.5" thickBot="1" x14ac:dyDescent="0.3">
      <c r="A121" s="5" t="s">
        <v>18</v>
      </c>
      <c r="B121" s="6" t="s">
        <v>70</v>
      </c>
      <c r="C121" s="34">
        <v>33.159999999999997</v>
      </c>
    </row>
    <row r="122" spans="1:4" ht="16.5" thickBot="1" x14ac:dyDescent="0.3">
      <c r="A122" s="5" t="s">
        <v>20</v>
      </c>
      <c r="B122" s="6" t="s">
        <v>25</v>
      </c>
      <c r="C122" s="34">
        <v>0</v>
      </c>
    </row>
    <row r="123" spans="1:4" ht="16.5" thickBot="1" x14ac:dyDescent="0.3">
      <c r="A123" s="218" t="s">
        <v>41</v>
      </c>
      <c r="B123" s="219"/>
      <c r="C123" s="29">
        <f>SUM(C119:C122)</f>
        <v>986.98</v>
      </c>
    </row>
    <row r="126" spans="1:4" x14ac:dyDescent="0.25">
      <c r="A126" s="220" t="s">
        <v>71</v>
      </c>
      <c r="B126" s="220"/>
      <c r="C126" s="220"/>
    </row>
    <row r="127" spans="1:4" ht="16.5" thickBot="1" x14ac:dyDescent="0.3"/>
    <row r="128" spans="1:4" ht="16.5" thickBot="1" x14ac:dyDescent="0.3">
      <c r="A128" s="3">
        <v>6</v>
      </c>
      <c r="B128" s="10" t="s">
        <v>7</v>
      </c>
      <c r="C128" s="4" t="s">
        <v>34</v>
      </c>
      <c r="D128" s="4" t="s">
        <v>13</v>
      </c>
    </row>
    <row r="129" spans="1:4" ht="16.5" thickBot="1" x14ac:dyDescent="0.3">
      <c r="A129" s="5" t="s">
        <v>14</v>
      </c>
      <c r="B129" s="6" t="s">
        <v>8</v>
      </c>
      <c r="C129" s="179">
        <v>0.1</v>
      </c>
      <c r="D129" s="34">
        <f>(C29+C71+C83+C113+C123)*C129</f>
        <v>392.13588430000004</v>
      </c>
    </row>
    <row r="130" spans="1:4" ht="16.5" thickBot="1" x14ac:dyDescent="0.3">
      <c r="A130" s="5" t="s">
        <v>16</v>
      </c>
      <c r="B130" s="6" t="s">
        <v>10</v>
      </c>
      <c r="C130" s="179">
        <v>0.1</v>
      </c>
      <c r="D130" s="34">
        <f>(C29+C71+C83+C113+C123+D129)*C130</f>
        <v>431.34947273</v>
      </c>
    </row>
    <row r="131" spans="1:4" ht="16.5" thickBot="1" x14ac:dyDescent="0.3">
      <c r="A131" s="5" t="s">
        <v>18</v>
      </c>
      <c r="B131" s="6" t="s">
        <v>9</v>
      </c>
      <c r="C131" s="180"/>
      <c r="D131" s="34">
        <f>C131*C146</f>
        <v>0</v>
      </c>
    </row>
    <row r="132" spans="1:4" ht="16.5" thickBot="1" x14ac:dyDescent="0.3">
      <c r="A132" s="5"/>
      <c r="B132" s="6" t="s">
        <v>97</v>
      </c>
      <c r="C132" s="8">
        <v>3.6499999999999998E-2</v>
      </c>
      <c r="D132" s="34">
        <f>C132*C146</f>
        <v>143.12959776949998</v>
      </c>
    </row>
    <row r="133" spans="1:4" ht="16.5" thickBot="1" x14ac:dyDescent="0.3">
      <c r="A133" s="5"/>
      <c r="B133" s="6" t="s">
        <v>72</v>
      </c>
      <c r="C133" s="7">
        <v>0</v>
      </c>
      <c r="D133" s="34">
        <f>C133*C148</f>
        <v>0</v>
      </c>
    </row>
    <row r="134" spans="1:4" ht="16.5" thickBot="1" x14ac:dyDescent="0.3">
      <c r="A134" s="5"/>
      <c r="B134" s="6" t="s">
        <v>98</v>
      </c>
      <c r="C134" s="32">
        <v>0.05</v>
      </c>
      <c r="D134" s="34">
        <f>C134*C146</f>
        <v>196.06794215000002</v>
      </c>
    </row>
    <row r="135" spans="1:4" ht="16.5" thickBot="1" x14ac:dyDescent="0.3">
      <c r="A135" s="218" t="s">
        <v>41</v>
      </c>
      <c r="B135" s="219"/>
      <c r="C135" s="33">
        <f>SUM(C129:C134)</f>
        <v>0.28650000000000003</v>
      </c>
      <c r="D135" s="29">
        <f>SUM(D129:D134)</f>
        <v>1162.6828969495</v>
      </c>
    </row>
    <row r="138" spans="1:4" x14ac:dyDescent="0.25">
      <c r="A138" s="220" t="s">
        <v>73</v>
      </c>
      <c r="B138" s="220"/>
      <c r="C138" s="220"/>
    </row>
    <row r="139" spans="1:4" ht="16.5" thickBot="1" x14ac:dyDescent="0.3"/>
    <row r="140" spans="1:4" ht="16.5" thickBot="1" x14ac:dyDescent="0.3">
      <c r="A140" s="3"/>
      <c r="B140" s="4" t="s">
        <v>74</v>
      </c>
      <c r="C140" s="4" t="s">
        <v>13</v>
      </c>
    </row>
    <row r="141" spans="1:4" ht="16.5" thickBot="1" x14ac:dyDescent="0.3">
      <c r="A141" s="12" t="s">
        <v>14</v>
      </c>
      <c r="B141" s="6" t="s">
        <v>11</v>
      </c>
      <c r="C141" s="25">
        <f>C29</f>
        <v>1320.87</v>
      </c>
    </row>
    <row r="142" spans="1:4" ht="16.5" thickBot="1" x14ac:dyDescent="0.3">
      <c r="A142" s="12" t="s">
        <v>16</v>
      </c>
      <c r="B142" s="6" t="s">
        <v>26</v>
      </c>
      <c r="C142" s="25">
        <f>C71</f>
        <v>1324.861173</v>
      </c>
    </row>
    <row r="143" spans="1:4" ht="16.5" thickBot="1" x14ac:dyDescent="0.3">
      <c r="A143" s="12" t="s">
        <v>18</v>
      </c>
      <c r="B143" s="6" t="s">
        <v>47</v>
      </c>
      <c r="C143" s="24">
        <f>C83</f>
        <v>93.707669999999993</v>
      </c>
    </row>
    <row r="144" spans="1:4" ht="16.5" thickBot="1" x14ac:dyDescent="0.3">
      <c r="A144" s="12" t="s">
        <v>20</v>
      </c>
      <c r="B144" s="6" t="s">
        <v>55</v>
      </c>
      <c r="C144" s="7">
        <f>C113</f>
        <v>194.94</v>
      </c>
    </row>
    <row r="145" spans="1:5" ht="16.5" thickBot="1" x14ac:dyDescent="0.3">
      <c r="A145" s="12" t="s">
        <v>21</v>
      </c>
      <c r="B145" s="6" t="s">
        <v>67</v>
      </c>
      <c r="C145" s="25">
        <f>C123</f>
        <v>986.98</v>
      </c>
    </row>
    <row r="146" spans="1:5" ht="16.5" thickBot="1" x14ac:dyDescent="0.3">
      <c r="A146" s="218" t="s">
        <v>75</v>
      </c>
      <c r="B146" s="219"/>
      <c r="C146" s="29">
        <f>SUM(C141:C145)</f>
        <v>3921.358843</v>
      </c>
    </row>
    <row r="147" spans="1:5" ht="16.5" thickBot="1" x14ac:dyDescent="0.3">
      <c r="A147" s="12" t="s">
        <v>23</v>
      </c>
      <c r="B147" s="6" t="s">
        <v>76</v>
      </c>
      <c r="C147" s="25">
        <v>1643.63</v>
      </c>
    </row>
    <row r="148" spans="1:5" ht="16.5" thickBot="1" x14ac:dyDescent="0.3">
      <c r="A148" s="218" t="s">
        <v>77</v>
      </c>
      <c r="B148" s="219"/>
      <c r="C148" s="29">
        <f>SUM(C146:C147)</f>
        <v>5564.9888430000001</v>
      </c>
      <c r="D148" s="45"/>
      <c r="E148" s="181"/>
    </row>
  </sheetData>
  <mergeCells count="42">
    <mergeCell ref="A1:D1"/>
    <mergeCell ref="A2:D2"/>
    <mergeCell ref="A123:B123"/>
    <mergeCell ref="A116:C116"/>
    <mergeCell ref="A29:B29"/>
    <mergeCell ref="A19:C19"/>
    <mergeCell ref="A38:B38"/>
    <mergeCell ref="A31:C31"/>
    <mergeCell ref="A3:D3"/>
    <mergeCell ref="A33:C33"/>
    <mergeCell ref="A52:B52"/>
    <mergeCell ref="A41:D41"/>
    <mergeCell ref="C13:D13"/>
    <mergeCell ref="A16:B16"/>
    <mergeCell ref="A17:B17"/>
    <mergeCell ref="A62:B62"/>
    <mergeCell ref="A55:C55"/>
    <mergeCell ref="A71:B71"/>
    <mergeCell ref="A65:C65"/>
    <mergeCell ref="A83:B83"/>
    <mergeCell ref="A74:C74"/>
    <mergeCell ref="A148:B148"/>
    <mergeCell ref="A138:C138"/>
    <mergeCell ref="A86:C86"/>
    <mergeCell ref="A98:B98"/>
    <mergeCell ref="A89:C89"/>
    <mergeCell ref="A105:B105"/>
    <mergeCell ref="A101:C101"/>
    <mergeCell ref="A113:B113"/>
    <mergeCell ref="A108:C108"/>
    <mergeCell ref="A146:B146"/>
    <mergeCell ref="A135:B135"/>
    <mergeCell ref="A126:C126"/>
    <mergeCell ref="A5:D5"/>
    <mergeCell ref="A8:D8"/>
    <mergeCell ref="A9:D9"/>
    <mergeCell ref="A15:D15"/>
    <mergeCell ref="A7:D7"/>
    <mergeCell ref="A6:D6"/>
    <mergeCell ref="C10:D10"/>
    <mergeCell ref="C11:D11"/>
    <mergeCell ref="C12:D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9"/>
  <sheetViews>
    <sheetView showGridLines="0" topLeftCell="A116" zoomScale="115" zoomScaleNormal="115" workbookViewId="0">
      <selection activeCell="C120" sqref="C120"/>
    </sheetView>
  </sheetViews>
  <sheetFormatPr defaultColWidth="9.140625" defaultRowHeight="15.75" x14ac:dyDescent="0.25"/>
  <cols>
    <col min="1" max="1" width="9.140625" style="11"/>
    <col min="2" max="2" width="72.140625" style="11" customWidth="1"/>
    <col min="3" max="3" width="18" style="11" customWidth="1"/>
    <col min="4" max="4" width="14.140625" style="11" customWidth="1"/>
    <col min="5" max="5" width="12.85546875" style="11" customWidth="1"/>
    <col min="6" max="6" width="12" style="11" customWidth="1"/>
    <col min="7" max="7" width="15.140625" style="11" customWidth="1"/>
    <col min="8" max="16384" width="9.140625" style="11"/>
  </cols>
  <sheetData>
    <row r="1" spans="1:4" ht="23.25" x14ac:dyDescent="0.35">
      <c r="A1" s="222" t="s">
        <v>78</v>
      </c>
      <c r="B1" s="222"/>
      <c r="C1" s="222"/>
      <c r="D1" s="222"/>
    </row>
    <row r="2" spans="1:4" ht="23.25" x14ac:dyDescent="0.35">
      <c r="A2" s="222" t="s">
        <v>79</v>
      </c>
      <c r="B2" s="222"/>
      <c r="C2" s="222"/>
      <c r="D2" s="222"/>
    </row>
    <row r="3" spans="1:4" x14ac:dyDescent="0.25">
      <c r="A3" s="224" t="s">
        <v>80</v>
      </c>
      <c r="B3" s="224"/>
      <c r="C3" s="224"/>
      <c r="D3" s="224"/>
    </row>
    <row r="5" spans="1:4" x14ac:dyDescent="0.25">
      <c r="A5" s="209" t="s">
        <v>82</v>
      </c>
      <c r="B5" s="210"/>
      <c r="C5" s="210"/>
      <c r="D5" s="211"/>
    </row>
    <row r="6" spans="1:4" x14ac:dyDescent="0.25">
      <c r="A6" s="216" t="s">
        <v>241</v>
      </c>
      <c r="B6" s="216"/>
      <c r="C6" s="216"/>
      <c r="D6" s="216"/>
    </row>
    <row r="7" spans="1:4" x14ac:dyDescent="0.25">
      <c r="A7" s="216" t="s">
        <v>242</v>
      </c>
      <c r="B7" s="216"/>
      <c r="C7" s="216"/>
      <c r="D7" s="216"/>
    </row>
    <row r="8" spans="1:4" x14ac:dyDescent="0.25">
      <c r="A8" s="212"/>
      <c r="B8" s="213"/>
      <c r="C8" s="213"/>
      <c r="D8" s="214"/>
    </row>
    <row r="9" spans="1:4" x14ac:dyDescent="0.25">
      <c r="A9" s="215" t="s">
        <v>83</v>
      </c>
      <c r="B9" s="215"/>
      <c r="C9" s="215"/>
      <c r="D9" s="215"/>
    </row>
    <row r="10" spans="1:4" x14ac:dyDescent="0.25">
      <c r="A10" s="26" t="s">
        <v>14</v>
      </c>
      <c r="B10" s="27" t="s">
        <v>84</v>
      </c>
      <c r="C10" s="217"/>
      <c r="D10" s="217"/>
    </row>
    <row r="11" spans="1:4" x14ac:dyDescent="0.25">
      <c r="A11" s="26" t="s">
        <v>16</v>
      </c>
      <c r="B11" s="27" t="s">
        <v>85</v>
      </c>
      <c r="C11" s="217" t="s">
        <v>86</v>
      </c>
      <c r="D11" s="217"/>
    </row>
    <row r="12" spans="1:4" x14ac:dyDescent="0.25">
      <c r="A12" s="26" t="s">
        <v>18</v>
      </c>
      <c r="B12" s="27" t="s">
        <v>87</v>
      </c>
      <c r="C12" s="217"/>
      <c r="D12" s="217"/>
    </row>
    <row r="13" spans="1:4" x14ac:dyDescent="0.25">
      <c r="A13" s="26" t="s">
        <v>20</v>
      </c>
      <c r="B13" s="27" t="s">
        <v>88</v>
      </c>
      <c r="C13" s="217">
        <v>12</v>
      </c>
      <c r="D13" s="217"/>
    </row>
    <row r="14" spans="1:4" x14ac:dyDescent="0.25">
      <c r="A14" s="17"/>
      <c r="B14" s="17"/>
      <c r="C14" s="17"/>
      <c r="D14" s="17"/>
    </row>
    <row r="15" spans="1:4" x14ac:dyDescent="0.25">
      <c r="A15" s="215" t="s">
        <v>89</v>
      </c>
      <c r="B15" s="215"/>
      <c r="C15" s="215"/>
      <c r="D15" s="215"/>
    </row>
    <row r="16" spans="1:4" ht="25.5" x14ac:dyDescent="0.25">
      <c r="A16" s="226" t="s">
        <v>90</v>
      </c>
      <c r="B16" s="226"/>
      <c r="C16" s="23" t="s">
        <v>91</v>
      </c>
      <c r="D16" s="15" t="s">
        <v>92</v>
      </c>
    </row>
    <row r="17" spans="1:4" x14ac:dyDescent="0.25">
      <c r="A17" s="216" t="s">
        <v>95</v>
      </c>
      <c r="B17" s="216"/>
      <c r="C17" s="26" t="s">
        <v>93</v>
      </c>
      <c r="D17" s="26">
        <v>1</v>
      </c>
    </row>
    <row r="19" spans="1:4" x14ac:dyDescent="0.25">
      <c r="A19" s="223" t="s">
        <v>11</v>
      </c>
      <c r="B19" s="223"/>
      <c r="C19" s="223"/>
    </row>
    <row r="20" spans="1:4" ht="16.5" thickBot="1" x14ac:dyDescent="0.3"/>
    <row r="21" spans="1:4" ht="16.5" thickBot="1" x14ac:dyDescent="0.3">
      <c r="A21" s="3">
        <v>1</v>
      </c>
      <c r="B21" s="13" t="s">
        <v>12</v>
      </c>
      <c r="C21" s="13" t="s">
        <v>13</v>
      </c>
    </row>
    <row r="22" spans="1:4" ht="16.5" thickBot="1" x14ac:dyDescent="0.3">
      <c r="A22" s="5" t="s">
        <v>14</v>
      </c>
      <c r="B22" s="6" t="s">
        <v>15</v>
      </c>
      <c r="C22" s="25">
        <v>1962.8</v>
      </c>
    </row>
    <row r="23" spans="1:4" ht="16.5" thickBot="1" x14ac:dyDescent="0.3">
      <c r="A23" s="5" t="s">
        <v>16</v>
      </c>
      <c r="B23" s="6" t="s">
        <v>17</v>
      </c>
      <c r="C23" s="25"/>
    </row>
    <row r="24" spans="1:4" ht="16.5" thickBot="1" x14ac:dyDescent="0.3">
      <c r="A24" s="5" t="s">
        <v>18</v>
      </c>
      <c r="B24" s="6" t="s">
        <v>19</v>
      </c>
      <c r="C24" s="25"/>
    </row>
    <row r="25" spans="1:4" ht="16.5" thickBot="1" x14ac:dyDescent="0.3">
      <c r="A25" s="5" t="s">
        <v>20</v>
      </c>
      <c r="B25" s="6" t="s">
        <v>0</v>
      </c>
      <c r="C25" s="25"/>
    </row>
    <row r="26" spans="1:4" ht="16.5" thickBot="1" x14ac:dyDescent="0.3">
      <c r="A26" s="5" t="s">
        <v>21</v>
      </c>
      <c r="B26" s="6" t="s">
        <v>22</v>
      </c>
      <c r="C26" s="25"/>
    </row>
    <row r="27" spans="1:4" ht="16.5" thickBot="1" x14ac:dyDescent="0.3">
      <c r="A27" s="5"/>
      <c r="B27" s="6"/>
      <c r="C27" s="25"/>
    </row>
    <row r="28" spans="1:4" ht="16.5" thickBot="1" x14ac:dyDescent="0.3">
      <c r="A28" s="5" t="s">
        <v>24</v>
      </c>
      <c r="B28" s="6" t="s">
        <v>25</v>
      </c>
      <c r="C28" s="25"/>
    </row>
    <row r="29" spans="1:4" ht="16.5" thickBot="1" x14ac:dyDescent="0.3">
      <c r="A29" s="218" t="s">
        <v>1</v>
      </c>
      <c r="B29" s="219"/>
      <c r="C29" s="29">
        <f>SUM(C22:C28)</f>
        <v>1962.8</v>
      </c>
    </row>
    <row r="32" spans="1:4" x14ac:dyDescent="0.25">
      <c r="A32" s="220" t="s">
        <v>26</v>
      </c>
      <c r="B32" s="220"/>
      <c r="C32" s="220"/>
    </row>
    <row r="33" spans="1:4" x14ac:dyDescent="0.25">
      <c r="A33" s="2"/>
    </row>
    <row r="34" spans="1:4" x14ac:dyDescent="0.25">
      <c r="A34" s="221" t="s">
        <v>27</v>
      </c>
      <c r="B34" s="221"/>
      <c r="C34" s="221"/>
    </row>
    <row r="35" spans="1:4" ht="16.5" thickBot="1" x14ac:dyDescent="0.3"/>
    <row r="36" spans="1:4" ht="16.5" thickBot="1" x14ac:dyDescent="0.3">
      <c r="A36" s="3" t="s">
        <v>28</v>
      </c>
      <c r="B36" s="13" t="s">
        <v>29</v>
      </c>
      <c r="C36" s="13" t="s">
        <v>13</v>
      </c>
    </row>
    <row r="37" spans="1:4" ht="16.5" thickBot="1" x14ac:dyDescent="0.3">
      <c r="A37" s="5" t="s">
        <v>14</v>
      </c>
      <c r="B37" s="6" t="s">
        <v>30</v>
      </c>
      <c r="C37" s="24">
        <f>C22*8.33%</f>
        <v>163.50124</v>
      </c>
    </row>
    <row r="38" spans="1:4" ht="16.5" thickBot="1" x14ac:dyDescent="0.3">
      <c r="A38" s="5" t="s">
        <v>16</v>
      </c>
      <c r="B38" s="6" t="s">
        <v>96</v>
      </c>
      <c r="C38" s="24">
        <f>C22*11.11%</f>
        <v>218.06707999999998</v>
      </c>
    </row>
    <row r="39" spans="1:4" ht="16.5" thickBot="1" x14ac:dyDescent="0.3">
      <c r="A39" s="218" t="s">
        <v>1</v>
      </c>
      <c r="B39" s="219"/>
      <c r="C39" s="30">
        <f>SUM(C37:C38)</f>
        <v>381.56831999999997</v>
      </c>
    </row>
    <row r="42" spans="1:4" ht="32.25" customHeight="1" x14ac:dyDescent="0.25">
      <c r="A42" s="225" t="s">
        <v>31</v>
      </c>
      <c r="B42" s="225"/>
      <c r="C42" s="225"/>
      <c r="D42" s="225"/>
    </row>
    <row r="43" spans="1:4" ht="16.5" thickBot="1" x14ac:dyDescent="0.3"/>
    <row r="44" spans="1:4" ht="16.5" thickBot="1" x14ac:dyDescent="0.3">
      <c r="A44" s="3" t="s">
        <v>32</v>
      </c>
      <c r="B44" s="13" t="s">
        <v>33</v>
      </c>
      <c r="C44" s="13" t="s">
        <v>34</v>
      </c>
      <c r="D44" s="13" t="s">
        <v>13</v>
      </c>
    </row>
    <row r="45" spans="1:4" ht="16.5" thickBot="1" x14ac:dyDescent="0.3">
      <c r="A45" s="5" t="s">
        <v>14</v>
      </c>
      <c r="B45" s="6" t="s">
        <v>35</v>
      </c>
      <c r="C45" s="8">
        <v>0.2</v>
      </c>
      <c r="D45" s="24">
        <f>$C$22*C45</f>
        <v>392.56</v>
      </c>
    </row>
    <row r="46" spans="1:4" ht="16.5" thickBot="1" x14ac:dyDescent="0.3">
      <c r="A46" s="5" t="s">
        <v>16</v>
      </c>
      <c r="B46" s="6" t="s">
        <v>36</v>
      </c>
      <c r="C46" s="8">
        <v>2.5000000000000001E-2</v>
      </c>
      <c r="D46" s="24">
        <f t="shared" ref="D46:D52" si="0">$C$22*C46</f>
        <v>49.07</v>
      </c>
    </row>
    <row r="47" spans="1:4" ht="16.5" thickBot="1" x14ac:dyDescent="0.3">
      <c r="A47" s="5" t="s">
        <v>18</v>
      </c>
      <c r="B47" s="6" t="s">
        <v>37</v>
      </c>
      <c r="C47" s="8">
        <v>2.5499999999999998E-2</v>
      </c>
      <c r="D47" s="24">
        <f t="shared" si="0"/>
        <v>50.051399999999994</v>
      </c>
    </row>
    <row r="48" spans="1:4" ht="16.5" thickBot="1" x14ac:dyDescent="0.3">
      <c r="A48" s="5" t="s">
        <v>20</v>
      </c>
      <c r="B48" s="6" t="s">
        <v>38</v>
      </c>
      <c r="C48" s="8">
        <v>1.4999999999999999E-2</v>
      </c>
      <c r="D48" s="24">
        <f t="shared" si="0"/>
        <v>29.441999999999997</v>
      </c>
    </row>
    <row r="49" spans="1:4" ht="16.5" thickBot="1" x14ac:dyDescent="0.3">
      <c r="A49" s="5" t="s">
        <v>21</v>
      </c>
      <c r="B49" s="6" t="s">
        <v>39</v>
      </c>
      <c r="C49" s="8">
        <v>0.01</v>
      </c>
      <c r="D49" s="24">
        <f t="shared" si="0"/>
        <v>19.628</v>
      </c>
    </row>
    <row r="50" spans="1:4" ht="16.5" thickBot="1" x14ac:dyDescent="0.3">
      <c r="A50" s="5" t="s">
        <v>23</v>
      </c>
      <c r="B50" s="6" t="s">
        <v>2</v>
      </c>
      <c r="C50" s="8">
        <v>6.0000000000000001E-3</v>
      </c>
      <c r="D50" s="24">
        <f t="shared" si="0"/>
        <v>11.7768</v>
      </c>
    </row>
    <row r="51" spans="1:4" ht="16.5" thickBot="1" x14ac:dyDescent="0.3">
      <c r="A51" s="5" t="s">
        <v>24</v>
      </c>
      <c r="B51" s="6" t="s">
        <v>3</v>
      </c>
      <c r="C51" s="8">
        <v>2E-3</v>
      </c>
      <c r="D51" s="24">
        <f t="shared" si="0"/>
        <v>3.9256000000000002</v>
      </c>
    </row>
    <row r="52" spans="1:4" ht="16.5" thickBot="1" x14ac:dyDescent="0.3">
      <c r="A52" s="5" t="s">
        <v>40</v>
      </c>
      <c r="B52" s="6" t="s">
        <v>4</v>
      </c>
      <c r="C52" s="8">
        <v>0.08</v>
      </c>
      <c r="D52" s="24">
        <f t="shared" si="0"/>
        <v>157.024</v>
      </c>
    </row>
    <row r="53" spans="1:4" ht="16.5" thickBot="1" x14ac:dyDescent="0.3">
      <c r="A53" s="218" t="s">
        <v>41</v>
      </c>
      <c r="B53" s="219"/>
      <c r="C53" s="31">
        <f>SUM(C45:C52)</f>
        <v>0.36350000000000005</v>
      </c>
      <c r="D53" s="30">
        <f>SUM(D45:D52)</f>
        <v>713.4778</v>
      </c>
    </row>
    <row r="56" spans="1:4" x14ac:dyDescent="0.25">
      <c r="A56" s="221" t="s">
        <v>42</v>
      </c>
      <c r="B56" s="221"/>
      <c r="C56" s="221"/>
    </row>
    <row r="57" spans="1:4" ht="16.5" thickBot="1" x14ac:dyDescent="0.3"/>
    <row r="58" spans="1:4" ht="16.5" thickBot="1" x14ac:dyDescent="0.3">
      <c r="A58" s="3" t="s">
        <v>43</v>
      </c>
      <c r="B58" s="13" t="s">
        <v>44</v>
      </c>
      <c r="C58" s="13" t="s">
        <v>13</v>
      </c>
    </row>
    <row r="59" spans="1:4" ht="16.5" thickBot="1" x14ac:dyDescent="0.3">
      <c r="A59" s="5" t="s">
        <v>14</v>
      </c>
      <c r="B59" s="6" t="s">
        <v>377</v>
      </c>
      <c r="C59" s="24">
        <f>(44*4)-(C29*0.06)</f>
        <v>58.232000000000014</v>
      </c>
    </row>
    <row r="60" spans="1:4" ht="26.25" thickBot="1" x14ac:dyDescent="0.3">
      <c r="A60" s="5" t="s">
        <v>16</v>
      </c>
      <c r="B60" s="178" t="s">
        <v>386</v>
      </c>
      <c r="C60" s="24">
        <f>(23.5*22)*90%</f>
        <v>465.3</v>
      </c>
    </row>
    <row r="61" spans="1:4" ht="26.25" thickBot="1" x14ac:dyDescent="0.3">
      <c r="A61" s="5" t="s">
        <v>18</v>
      </c>
      <c r="B61" s="178" t="s">
        <v>363</v>
      </c>
      <c r="C61" s="177">
        <v>19.899999999999999</v>
      </c>
    </row>
    <row r="62" spans="1:4" ht="26.25" thickBot="1" x14ac:dyDescent="0.3">
      <c r="A62" s="5" t="s">
        <v>20</v>
      </c>
      <c r="B62" s="178" t="s">
        <v>378</v>
      </c>
      <c r="C62" s="177">
        <v>6</v>
      </c>
    </row>
    <row r="63" spans="1:4" ht="16.5" thickBot="1" x14ac:dyDescent="0.3">
      <c r="A63" s="218" t="s">
        <v>1</v>
      </c>
      <c r="B63" s="219"/>
      <c r="C63" s="30">
        <f>SUM(C59:C62)</f>
        <v>549.43200000000002</v>
      </c>
    </row>
    <row r="66" spans="1:4" x14ac:dyDescent="0.25">
      <c r="A66" s="221" t="s">
        <v>45</v>
      </c>
      <c r="B66" s="221"/>
      <c r="C66" s="221"/>
    </row>
    <row r="67" spans="1:4" ht="16.5" thickBot="1" x14ac:dyDescent="0.3"/>
    <row r="68" spans="1:4" ht="16.5" thickBot="1" x14ac:dyDescent="0.3">
      <c r="A68" s="3">
        <v>2</v>
      </c>
      <c r="B68" s="13" t="s">
        <v>46</v>
      </c>
      <c r="C68" s="13" t="s">
        <v>13</v>
      </c>
    </row>
    <row r="69" spans="1:4" ht="16.5" thickBot="1" x14ac:dyDescent="0.3">
      <c r="A69" s="5" t="s">
        <v>28</v>
      </c>
      <c r="B69" s="6" t="s">
        <v>29</v>
      </c>
      <c r="C69" s="24">
        <f>C39</f>
        <v>381.56831999999997</v>
      </c>
    </row>
    <row r="70" spans="1:4" ht="16.5" thickBot="1" x14ac:dyDescent="0.3">
      <c r="A70" s="5" t="s">
        <v>32</v>
      </c>
      <c r="B70" s="6" t="s">
        <v>33</v>
      </c>
      <c r="C70" s="24">
        <f>D53</f>
        <v>713.4778</v>
      </c>
    </row>
    <row r="71" spans="1:4" ht="16.5" thickBot="1" x14ac:dyDescent="0.3">
      <c r="A71" s="5" t="s">
        <v>43</v>
      </c>
      <c r="B71" s="6" t="s">
        <v>44</v>
      </c>
      <c r="C71" s="24">
        <f>C63</f>
        <v>549.43200000000002</v>
      </c>
    </row>
    <row r="72" spans="1:4" ht="16.5" thickBot="1" x14ac:dyDescent="0.3">
      <c r="A72" s="218" t="s">
        <v>1</v>
      </c>
      <c r="B72" s="219"/>
      <c r="C72" s="29">
        <f>SUM(C69:C71)</f>
        <v>1644.47812</v>
      </c>
    </row>
    <row r="73" spans="1:4" x14ac:dyDescent="0.25">
      <c r="A73" s="1"/>
    </row>
    <row r="75" spans="1:4" x14ac:dyDescent="0.25">
      <c r="A75" s="220" t="s">
        <v>47</v>
      </c>
      <c r="B75" s="220"/>
      <c r="C75" s="220"/>
    </row>
    <row r="76" spans="1:4" ht="16.5" thickBot="1" x14ac:dyDescent="0.3"/>
    <row r="77" spans="1:4" ht="16.5" thickBot="1" x14ac:dyDescent="0.3">
      <c r="A77" s="3">
        <v>3</v>
      </c>
      <c r="B77" s="13" t="s">
        <v>48</v>
      </c>
      <c r="C77" s="13" t="s">
        <v>13</v>
      </c>
    </row>
    <row r="78" spans="1:4" ht="16.5" thickBot="1" x14ac:dyDescent="0.3">
      <c r="A78" s="5" t="s">
        <v>14</v>
      </c>
      <c r="B78" s="9" t="s">
        <v>49</v>
      </c>
      <c r="C78" s="34">
        <v>8.24</v>
      </c>
    </row>
    <row r="79" spans="1:4" ht="16.5" thickBot="1" x14ac:dyDescent="0.3">
      <c r="A79" s="5" t="s">
        <v>16</v>
      </c>
      <c r="B79" s="9" t="s">
        <v>50</v>
      </c>
      <c r="C79" s="24">
        <f>C78*8%</f>
        <v>0.65920000000000001</v>
      </c>
      <c r="D79" s="181"/>
    </row>
    <row r="80" spans="1:4" ht="16.5" thickBot="1" x14ac:dyDescent="0.3">
      <c r="A80" s="5" t="s">
        <v>18</v>
      </c>
      <c r="B80" s="9" t="s">
        <v>51</v>
      </c>
      <c r="C80" s="24">
        <f>3%*C22</f>
        <v>58.883999999999993</v>
      </c>
    </row>
    <row r="81" spans="1:5" ht="16.5" thickBot="1" x14ac:dyDescent="0.3">
      <c r="A81" s="5" t="s">
        <v>20</v>
      </c>
      <c r="B81" s="9" t="s">
        <v>52</v>
      </c>
      <c r="C81" s="34">
        <v>38.08</v>
      </c>
    </row>
    <row r="82" spans="1:5" ht="16.5" thickBot="1" x14ac:dyDescent="0.3">
      <c r="A82" s="5" t="s">
        <v>21</v>
      </c>
      <c r="B82" s="9" t="s">
        <v>53</v>
      </c>
      <c r="C82" s="34">
        <f>C81*C53</f>
        <v>13.842080000000001</v>
      </c>
    </row>
    <row r="83" spans="1:5" ht="16.5" thickBot="1" x14ac:dyDescent="0.3">
      <c r="A83" s="5" t="s">
        <v>23</v>
      </c>
      <c r="B83" s="9" t="s">
        <v>54</v>
      </c>
      <c r="C83" s="24">
        <f>1%*C29</f>
        <v>19.628</v>
      </c>
    </row>
    <row r="84" spans="1:5" ht="16.5" thickBot="1" x14ac:dyDescent="0.3">
      <c r="A84" s="218" t="s">
        <v>1</v>
      </c>
      <c r="B84" s="219"/>
      <c r="C84" s="30">
        <f>SUM(C78:C83)</f>
        <v>139.33328</v>
      </c>
    </row>
    <row r="87" spans="1:5" x14ac:dyDescent="0.25">
      <c r="A87" s="220" t="s">
        <v>55</v>
      </c>
      <c r="B87" s="220"/>
      <c r="C87" s="220"/>
    </row>
    <row r="90" spans="1:5" x14ac:dyDescent="0.25">
      <c r="A90" s="221" t="s">
        <v>56</v>
      </c>
      <c r="B90" s="221"/>
      <c r="C90" s="221"/>
    </row>
    <row r="91" spans="1:5" ht="16.5" thickBot="1" x14ac:dyDescent="0.3">
      <c r="A91" s="2"/>
    </row>
    <row r="92" spans="1:5" ht="16.5" thickBot="1" x14ac:dyDescent="0.3">
      <c r="A92" s="3" t="s">
        <v>57</v>
      </c>
      <c r="B92" s="13" t="s">
        <v>58</v>
      </c>
      <c r="C92" s="13" t="s">
        <v>13</v>
      </c>
    </row>
    <row r="93" spans="1:5" ht="16.5" thickBot="1" x14ac:dyDescent="0.3">
      <c r="A93" s="5" t="s">
        <v>14</v>
      </c>
      <c r="B93" s="6" t="s">
        <v>387</v>
      </c>
      <c r="C93" s="24">
        <v>279.64</v>
      </c>
      <c r="D93" s="181"/>
      <c r="E93" s="173"/>
    </row>
    <row r="94" spans="1:5" ht="16.5" thickBot="1" x14ac:dyDescent="0.3">
      <c r="A94" s="5" t="s">
        <v>16</v>
      </c>
      <c r="B94" s="6" t="s">
        <v>58</v>
      </c>
      <c r="C94" s="34">
        <v>5.5</v>
      </c>
    </row>
    <row r="95" spans="1:5" ht="16.5" thickBot="1" x14ac:dyDescent="0.3">
      <c r="A95" s="5" t="s">
        <v>18</v>
      </c>
      <c r="B95" s="6" t="s">
        <v>59</v>
      </c>
      <c r="C95" s="34">
        <v>0.79</v>
      </c>
    </row>
    <row r="96" spans="1:5" ht="16.5" thickBot="1" x14ac:dyDescent="0.3">
      <c r="A96" s="5" t="s">
        <v>20</v>
      </c>
      <c r="B96" s="6" t="s">
        <v>60</v>
      </c>
      <c r="C96" s="34">
        <v>0.59</v>
      </c>
    </row>
    <row r="97" spans="1:3" ht="16.5" thickBot="1" x14ac:dyDescent="0.3">
      <c r="A97" s="5" t="s">
        <v>21</v>
      </c>
      <c r="B97" s="6" t="s">
        <v>61</v>
      </c>
      <c r="C97" s="34">
        <v>0.39</v>
      </c>
    </row>
    <row r="98" spans="1:3" ht="16.5" thickBot="1" x14ac:dyDescent="0.3">
      <c r="A98" s="5" t="s">
        <v>23</v>
      </c>
      <c r="B98" s="6" t="s">
        <v>25</v>
      </c>
      <c r="C98" s="34">
        <v>0</v>
      </c>
    </row>
    <row r="99" spans="1:3" ht="16.5" thickBot="1" x14ac:dyDescent="0.3">
      <c r="A99" s="218" t="s">
        <v>41</v>
      </c>
      <c r="B99" s="219"/>
      <c r="C99" s="30">
        <f>SUM(C93:C98)</f>
        <v>286.90999999999997</v>
      </c>
    </row>
    <row r="102" spans="1:3" x14ac:dyDescent="0.25">
      <c r="A102" s="221" t="s">
        <v>62</v>
      </c>
      <c r="B102" s="221"/>
      <c r="C102" s="221"/>
    </row>
    <row r="103" spans="1:3" ht="16.5" thickBot="1" x14ac:dyDescent="0.3">
      <c r="A103" s="2"/>
    </row>
    <row r="104" spans="1:3" ht="16.5" thickBot="1" x14ac:dyDescent="0.3">
      <c r="A104" s="3" t="s">
        <v>63</v>
      </c>
      <c r="B104" s="13" t="s">
        <v>64</v>
      </c>
      <c r="C104" s="13" t="s">
        <v>13</v>
      </c>
    </row>
    <row r="105" spans="1:3" ht="16.5" thickBot="1" x14ac:dyDescent="0.3">
      <c r="A105" s="5" t="s">
        <v>14</v>
      </c>
      <c r="B105" s="6" t="s">
        <v>81</v>
      </c>
      <c r="C105" s="24">
        <v>0</v>
      </c>
    </row>
    <row r="106" spans="1:3" ht="16.5" thickBot="1" x14ac:dyDescent="0.3">
      <c r="A106" s="218" t="s">
        <v>1</v>
      </c>
      <c r="B106" s="219"/>
      <c r="C106" s="30">
        <v>0</v>
      </c>
    </row>
    <row r="109" spans="1:3" x14ac:dyDescent="0.25">
      <c r="A109" s="221" t="s">
        <v>65</v>
      </c>
      <c r="B109" s="221"/>
      <c r="C109" s="221"/>
    </row>
    <row r="110" spans="1:3" ht="16.5" thickBot="1" x14ac:dyDescent="0.3">
      <c r="A110" s="2"/>
    </row>
    <row r="111" spans="1:3" ht="16.5" thickBot="1" x14ac:dyDescent="0.3">
      <c r="A111" s="3">
        <v>4</v>
      </c>
      <c r="B111" s="13" t="s">
        <v>66</v>
      </c>
      <c r="C111" s="13" t="s">
        <v>13</v>
      </c>
    </row>
    <row r="112" spans="1:3" ht="16.5" thickBot="1" x14ac:dyDescent="0.3">
      <c r="A112" s="5" t="s">
        <v>57</v>
      </c>
      <c r="B112" s="6" t="s">
        <v>58</v>
      </c>
      <c r="C112" s="34">
        <f>C99</f>
        <v>286.90999999999997</v>
      </c>
    </row>
    <row r="113" spans="1:3" ht="16.5" thickBot="1" x14ac:dyDescent="0.3">
      <c r="A113" s="5" t="s">
        <v>63</v>
      </c>
      <c r="B113" s="6" t="s">
        <v>64</v>
      </c>
      <c r="C113" s="34">
        <f>C106</f>
        <v>0</v>
      </c>
    </row>
    <row r="114" spans="1:3" ht="16.5" thickBot="1" x14ac:dyDescent="0.3">
      <c r="A114" s="218" t="s">
        <v>1</v>
      </c>
      <c r="B114" s="219"/>
      <c r="C114" s="30">
        <f>SUM(C112:C113)</f>
        <v>286.90999999999997</v>
      </c>
    </row>
    <row r="117" spans="1:3" x14ac:dyDescent="0.25">
      <c r="A117" s="220" t="s">
        <v>67</v>
      </c>
      <c r="B117" s="220"/>
      <c r="C117" s="220"/>
    </row>
    <row r="118" spans="1:3" ht="16.5" thickBot="1" x14ac:dyDescent="0.3"/>
    <row r="119" spans="1:3" ht="16.5" thickBot="1" x14ac:dyDescent="0.3">
      <c r="A119" s="3">
        <v>5</v>
      </c>
      <c r="B119" s="10" t="s">
        <v>6</v>
      </c>
      <c r="C119" s="13" t="s">
        <v>13</v>
      </c>
    </row>
    <row r="120" spans="1:3" ht="16.5" thickBot="1" x14ac:dyDescent="0.3">
      <c r="A120" s="5" t="s">
        <v>14</v>
      </c>
      <c r="B120" s="6" t="s">
        <v>68</v>
      </c>
      <c r="C120" s="34">
        <v>30.22</v>
      </c>
    </row>
    <row r="121" spans="1:3" ht="16.5" thickBot="1" x14ac:dyDescent="0.3">
      <c r="A121" s="5" t="s">
        <v>16</v>
      </c>
      <c r="B121" s="6" t="s">
        <v>69</v>
      </c>
      <c r="C121" s="34">
        <v>0</v>
      </c>
    </row>
    <row r="122" spans="1:3" ht="16.5" thickBot="1" x14ac:dyDescent="0.3">
      <c r="A122" s="5" t="s">
        <v>18</v>
      </c>
      <c r="B122" s="6" t="s">
        <v>70</v>
      </c>
      <c r="C122" s="34">
        <v>0</v>
      </c>
    </row>
    <row r="123" spans="1:3" ht="16.5" thickBot="1" x14ac:dyDescent="0.3">
      <c r="A123" s="5" t="s">
        <v>20</v>
      </c>
      <c r="B123" s="6" t="s">
        <v>25</v>
      </c>
      <c r="C123" s="34">
        <v>0</v>
      </c>
    </row>
    <row r="124" spans="1:3" ht="16.5" thickBot="1" x14ac:dyDescent="0.3">
      <c r="A124" s="218" t="s">
        <v>41</v>
      </c>
      <c r="B124" s="219"/>
      <c r="C124" s="30">
        <f>SUM(C120:C123)</f>
        <v>30.22</v>
      </c>
    </row>
    <row r="127" spans="1:3" x14ac:dyDescent="0.25">
      <c r="A127" s="220" t="s">
        <v>71</v>
      </c>
      <c r="B127" s="220"/>
      <c r="C127" s="220"/>
    </row>
    <row r="128" spans="1:3" ht="16.5" thickBot="1" x14ac:dyDescent="0.3"/>
    <row r="129" spans="1:4" ht="16.5" thickBot="1" x14ac:dyDescent="0.3">
      <c r="A129" s="3">
        <v>6</v>
      </c>
      <c r="B129" s="10" t="s">
        <v>7</v>
      </c>
      <c r="C129" s="13" t="s">
        <v>34</v>
      </c>
      <c r="D129" s="13" t="s">
        <v>13</v>
      </c>
    </row>
    <row r="130" spans="1:4" ht="16.5" thickBot="1" x14ac:dyDescent="0.3">
      <c r="A130" s="5" t="s">
        <v>14</v>
      </c>
      <c r="B130" s="6" t="s">
        <v>8</v>
      </c>
      <c r="C130" s="179">
        <v>0.1</v>
      </c>
      <c r="D130" s="34">
        <f>(C29+C72+C84+C113+C124)*C130</f>
        <v>377.68313999999998</v>
      </c>
    </row>
    <row r="131" spans="1:4" ht="16.5" thickBot="1" x14ac:dyDescent="0.3">
      <c r="A131" s="5" t="s">
        <v>16</v>
      </c>
      <c r="B131" s="6" t="s">
        <v>10</v>
      </c>
      <c r="C131" s="179">
        <v>0.1</v>
      </c>
      <c r="D131" s="34">
        <f>(C29+C72+C84+C113+C124+C130)*C131</f>
        <v>377.69313999999997</v>
      </c>
    </row>
    <row r="132" spans="1:4" ht="16.5" thickBot="1" x14ac:dyDescent="0.3">
      <c r="A132" s="5" t="s">
        <v>18</v>
      </c>
      <c r="B132" s="6" t="s">
        <v>9</v>
      </c>
      <c r="C132" s="180"/>
      <c r="D132" s="34">
        <f>C132*C147</f>
        <v>0</v>
      </c>
    </row>
    <row r="133" spans="1:4" ht="16.5" thickBot="1" x14ac:dyDescent="0.3">
      <c r="A133" s="5"/>
      <c r="B133" s="6" t="s">
        <v>97</v>
      </c>
      <c r="C133" s="8">
        <v>3.6499999999999998E-2</v>
      </c>
      <c r="D133" s="34">
        <f>C133*C147</f>
        <v>148.32656109999996</v>
      </c>
    </row>
    <row r="134" spans="1:4" ht="16.5" thickBot="1" x14ac:dyDescent="0.3">
      <c r="A134" s="5"/>
      <c r="B134" s="6" t="s">
        <v>72</v>
      </c>
      <c r="C134" s="7">
        <v>0</v>
      </c>
      <c r="D134" s="34">
        <f>C134*C147</f>
        <v>0</v>
      </c>
    </row>
    <row r="135" spans="1:4" ht="16.5" thickBot="1" x14ac:dyDescent="0.3">
      <c r="A135" s="5"/>
      <c r="B135" s="6" t="s">
        <v>98</v>
      </c>
      <c r="C135" s="32">
        <v>0.05</v>
      </c>
      <c r="D135" s="34">
        <f>C135*C147</f>
        <v>203.18706999999998</v>
      </c>
    </row>
    <row r="136" spans="1:4" ht="16.5" thickBot="1" x14ac:dyDescent="0.3">
      <c r="A136" s="218" t="s">
        <v>41</v>
      </c>
      <c r="B136" s="219"/>
      <c r="C136" s="31">
        <f>SUM(C130:C135)</f>
        <v>0.28650000000000003</v>
      </c>
      <c r="D136" s="30">
        <f>SUM(D130:D135)</f>
        <v>1106.8899110999998</v>
      </c>
    </row>
    <row r="139" spans="1:4" x14ac:dyDescent="0.25">
      <c r="A139" s="220" t="s">
        <v>73</v>
      </c>
      <c r="B139" s="220"/>
      <c r="C139" s="220"/>
    </row>
    <row r="140" spans="1:4" ht="16.5" thickBot="1" x14ac:dyDescent="0.3"/>
    <row r="141" spans="1:4" ht="16.5" thickBot="1" x14ac:dyDescent="0.3">
      <c r="A141" s="3"/>
      <c r="B141" s="13" t="s">
        <v>74</v>
      </c>
      <c r="C141" s="13" t="s">
        <v>13</v>
      </c>
    </row>
    <row r="142" spans="1:4" ht="16.5" thickBot="1" x14ac:dyDescent="0.3">
      <c r="A142" s="12" t="s">
        <v>14</v>
      </c>
      <c r="B142" s="6" t="s">
        <v>11</v>
      </c>
      <c r="C142" s="25">
        <f>C29</f>
        <v>1962.8</v>
      </c>
    </row>
    <row r="143" spans="1:4" ht="16.5" thickBot="1" x14ac:dyDescent="0.3">
      <c r="A143" s="12" t="s">
        <v>16</v>
      </c>
      <c r="B143" s="6" t="s">
        <v>26</v>
      </c>
      <c r="C143" s="25">
        <f>C72</f>
        <v>1644.47812</v>
      </c>
    </row>
    <row r="144" spans="1:4" ht="16.5" thickBot="1" x14ac:dyDescent="0.3">
      <c r="A144" s="12" t="s">
        <v>18</v>
      </c>
      <c r="B144" s="6" t="s">
        <v>47</v>
      </c>
      <c r="C144" s="24">
        <f>C84</f>
        <v>139.33328</v>
      </c>
    </row>
    <row r="145" spans="1:5" ht="16.5" thickBot="1" x14ac:dyDescent="0.3">
      <c r="A145" s="12" t="s">
        <v>20</v>
      </c>
      <c r="B145" s="6" t="s">
        <v>55</v>
      </c>
      <c r="C145" s="7">
        <f>C114</f>
        <v>286.90999999999997</v>
      </c>
    </row>
    <row r="146" spans="1:5" ht="16.5" thickBot="1" x14ac:dyDescent="0.3">
      <c r="A146" s="12" t="s">
        <v>21</v>
      </c>
      <c r="B146" s="6" t="s">
        <v>67</v>
      </c>
      <c r="C146" s="7">
        <f>C124</f>
        <v>30.22</v>
      </c>
    </row>
    <row r="147" spans="1:5" ht="16.5" thickBot="1" x14ac:dyDescent="0.3">
      <c r="A147" s="218" t="s">
        <v>75</v>
      </c>
      <c r="B147" s="219"/>
      <c r="C147" s="29">
        <f>SUM(C142:C146)</f>
        <v>4063.7413999999994</v>
      </c>
    </row>
    <row r="148" spans="1:5" ht="16.5" thickBot="1" x14ac:dyDescent="0.3">
      <c r="A148" s="12" t="s">
        <v>23</v>
      </c>
      <c r="B148" s="6" t="s">
        <v>76</v>
      </c>
      <c r="C148" s="24">
        <f>D136</f>
        <v>1106.8899110999998</v>
      </c>
    </row>
    <row r="149" spans="1:5" ht="16.5" thickBot="1" x14ac:dyDescent="0.3">
      <c r="A149" s="218" t="s">
        <v>77</v>
      </c>
      <c r="B149" s="219"/>
      <c r="C149" s="29">
        <f>SUM(C147:C148)</f>
        <v>5170.631311099999</v>
      </c>
      <c r="E149" s="192"/>
    </row>
  </sheetData>
  <mergeCells count="42">
    <mergeCell ref="A149:B149"/>
    <mergeCell ref="A99:B99"/>
    <mergeCell ref="A102:C102"/>
    <mergeCell ref="A106:B106"/>
    <mergeCell ref="A109:C109"/>
    <mergeCell ref="A114:B114"/>
    <mergeCell ref="A117:C117"/>
    <mergeCell ref="A124:B124"/>
    <mergeCell ref="A127:C127"/>
    <mergeCell ref="A136:B136"/>
    <mergeCell ref="A139:C139"/>
    <mergeCell ref="A147:B147"/>
    <mergeCell ref="A90:C90"/>
    <mergeCell ref="A34:C34"/>
    <mergeCell ref="A39:B39"/>
    <mergeCell ref="A42:D42"/>
    <mergeCell ref="A53:B53"/>
    <mergeCell ref="A56:C56"/>
    <mergeCell ref="A63:B63"/>
    <mergeCell ref="A66:C66"/>
    <mergeCell ref="A72:B72"/>
    <mergeCell ref="A75:C75"/>
    <mergeCell ref="A84:B84"/>
    <mergeCell ref="A87:C87"/>
    <mergeCell ref="A1:D1"/>
    <mergeCell ref="A2:D2"/>
    <mergeCell ref="A3:D3"/>
    <mergeCell ref="A19:C19"/>
    <mergeCell ref="A29:B29"/>
    <mergeCell ref="A16:B16"/>
    <mergeCell ref="A17:B17"/>
    <mergeCell ref="A9:D9"/>
    <mergeCell ref="C10:D10"/>
    <mergeCell ref="C11:D11"/>
    <mergeCell ref="C12:D12"/>
    <mergeCell ref="C13:D13"/>
    <mergeCell ref="A15:D15"/>
    <mergeCell ref="A32:C32"/>
    <mergeCell ref="A5:D5"/>
    <mergeCell ref="A6:D6"/>
    <mergeCell ref="A7:D7"/>
    <mergeCell ref="A8:D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1534B-1B94-43AB-BFF9-5170F37C4480}">
  <dimension ref="A1:I78"/>
  <sheetViews>
    <sheetView workbookViewId="0">
      <selection activeCell="F77" sqref="F77"/>
    </sheetView>
  </sheetViews>
  <sheetFormatPr defaultRowHeight="15" x14ac:dyDescent="0.25"/>
  <cols>
    <col min="1" max="1" width="19.42578125" style="150" customWidth="1"/>
    <col min="2" max="2" width="11.85546875" style="118" customWidth="1"/>
    <col min="3" max="3" width="19" style="150" customWidth="1"/>
    <col min="4" max="4" width="27.28515625" style="150" customWidth="1"/>
    <col min="5" max="5" width="6.5703125" customWidth="1"/>
    <col min="6" max="6" width="19.42578125" customWidth="1"/>
    <col min="7" max="7" width="13.28515625" customWidth="1"/>
    <col min="8" max="8" width="13.85546875" customWidth="1"/>
    <col min="9" max="9" width="31" customWidth="1"/>
  </cols>
  <sheetData>
    <row r="1" spans="1:9" s="145" customFormat="1" x14ac:dyDescent="0.25">
      <c r="A1" s="231" t="s">
        <v>358</v>
      </c>
      <c r="B1" s="231"/>
      <c r="C1" s="231"/>
      <c r="D1" s="231"/>
      <c r="F1" s="231" t="s">
        <v>358</v>
      </c>
      <c r="G1" s="231"/>
      <c r="H1" s="231"/>
      <c r="I1" s="231"/>
    </row>
    <row r="2" spans="1:9" s="145" customFormat="1" x14ac:dyDescent="0.25">
      <c r="A2" s="231" t="s">
        <v>357</v>
      </c>
      <c r="B2" s="231"/>
      <c r="C2" s="231"/>
      <c r="D2" s="231"/>
      <c r="F2" s="231" t="s">
        <v>357</v>
      </c>
      <c r="G2" s="231"/>
      <c r="H2" s="231"/>
      <c r="I2" s="231"/>
    </row>
    <row r="3" spans="1:9" s="145" customFormat="1" x14ac:dyDescent="0.25">
      <c r="A3" s="231" t="s">
        <v>365</v>
      </c>
      <c r="B3" s="231"/>
      <c r="C3" s="231"/>
      <c r="D3" s="231"/>
      <c r="F3" s="231" t="s">
        <v>365</v>
      </c>
      <c r="G3" s="231"/>
      <c r="H3" s="231"/>
      <c r="I3" s="231"/>
    </row>
    <row r="4" spans="1:9" s="145" customFormat="1" x14ac:dyDescent="0.25">
      <c r="A4" s="148"/>
      <c r="B4" s="149"/>
      <c r="C4" s="148"/>
      <c r="D4" s="148"/>
      <c r="F4" s="148"/>
      <c r="G4" s="149"/>
      <c r="H4" s="148"/>
      <c r="I4" s="148"/>
    </row>
    <row r="5" spans="1:9" s="145" customFormat="1" x14ac:dyDescent="0.25">
      <c r="A5" s="156" t="s">
        <v>361</v>
      </c>
      <c r="B5" s="125" t="s">
        <v>362</v>
      </c>
      <c r="C5" s="148"/>
      <c r="D5" s="148"/>
      <c r="F5" s="156" t="s">
        <v>361</v>
      </c>
      <c r="G5" s="125" t="s">
        <v>375</v>
      </c>
      <c r="H5" s="148"/>
      <c r="I5" s="148"/>
    </row>
    <row r="6" spans="1:9" s="145" customFormat="1" x14ac:dyDescent="0.25">
      <c r="A6" s="156" t="s">
        <v>360</v>
      </c>
      <c r="B6" s="162">
        <v>1320.87</v>
      </c>
      <c r="C6" s="148"/>
      <c r="D6" s="148"/>
      <c r="F6" s="156" t="s">
        <v>360</v>
      </c>
      <c r="G6" s="162">
        <v>1962.8</v>
      </c>
      <c r="H6" s="148"/>
      <c r="I6" s="148"/>
    </row>
    <row r="7" spans="1:9" x14ac:dyDescent="0.25">
      <c r="F7" s="150"/>
      <c r="G7" s="118"/>
      <c r="H7" s="150"/>
      <c r="I7" s="150"/>
    </row>
    <row r="8" spans="1:9" s="145" customFormat="1" x14ac:dyDescent="0.25">
      <c r="A8" s="227" t="s">
        <v>364</v>
      </c>
      <c r="B8" s="227"/>
      <c r="C8" s="227"/>
      <c r="D8" s="227"/>
      <c r="F8" s="227" t="s">
        <v>364</v>
      </c>
      <c r="G8" s="227"/>
      <c r="H8" s="227"/>
      <c r="I8" s="227"/>
    </row>
    <row r="9" spans="1:9" s="147" customFormat="1" x14ac:dyDescent="0.25">
      <c r="A9" s="146">
        <v>3</v>
      </c>
      <c r="B9" s="228" t="s">
        <v>48</v>
      </c>
      <c r="C9" s="229"/>
      <c r="D9" s="230"/>
      <c r="F9" s="146">
        <v>3</v>
      </c>
      <c r="G9" s="228" t="s">
        <v>48</v>
      </c>
      <c r="H9" s="229"/>
      <c r="I9" s="230"/>
    </row>
    <row r="10" spans="1:9" s="147" customFormat="1" x14ac:dyDescent="0.25">
      <c r="A10" s="227" t="s">
        <v>359</v>
      </c>
      <c r="B10" s="227"/>
      <c r="C10" s="227"/>
      <c r="D10" s="227"/>
      <c r="F10" s="227" t="s">
        <v>359</v>
      </c>
      <c r="G10" s="227"/>
      <c r="H10" s="227"/>
      <c r="I10" s="227"/>
    </row>
    <row r="11" spans="1:9" s="147" customFormat="1" ht="18.600000000000001" customHeight="1" x14ac:dyDescent="0.25">
      <c r="A11" s="163" t="s">
        <v>49</v>
      </c>
      <c r="B11" s="163"/>
      <c r="C11" s="146" t="s">
        <v>34</v>
      </c>
      <c r="D11" s="146" t="s">
        <v>13</v>
      </c>
      <c r="F11" s="163" t="s">
        <v>49</v>
      </c>
      <c r="G11" s="163"/>
      <c r="H11" s="146" t="s">
        <v>34</v>
      </c>
      <c r="I11" s="146" t="s">
        <v>13</v>
      </c>
    </row>
    <row r="12" spans="1:9" x14ac:dyDescent="0.25">
      <c r="A12" s="151" t="s">
        <v>389</v>
      </c>
      <c r="B12" s="152"/>
      <c r="C12" s="153"/>
      <c r="D12" s="154">
        <v>7.07</v>
      </c>
      <c r="F12" s="151" t="s">
        <v>389</v>
      </c>
      <c r="G12" s="152"/>
      <c r="H12" s="153"/>
      <c r="I12" s="154">
        <v>10.63</v>
      </c>
    </row>
    <row r="13" spans="1:9" x14ac:dyDescent="0.25">
      <c r="A13" s="151" t="s">
        <v>390</v>
      </c>
      <c r="B13" s="152"/>
      <c r="C13" s="155"/>
      <c r="D13" s="154">
        <v>5.55</v>
      </c>
      <c r="F13" s="151" t="s">
        <v>390</v>
      </c>
      <c r="G13" s="152"/>
      <c r="H13" s="155"/>
      <c r="I13" s="154">
        <v>8.24</v>
      </c>
    </row>
    <row r="14" spans="1:9" s="145" customFormat="1" x14ac:dyDescent="0.25">
      <c r="A14" s="164" t="s">
        <v>384</v>
      </c>
      <c r="B14" s="165"/>
      <c r="C14" s="166"/>
      <c r="D14" s="167">
        <f>MIN(D12:D13)</f>
        <v>5.55</v>
      </c>
      <c r="F14" s="164" t="s">
        <v>384</v>
      </c>
      <c r="G14" s="165"/>
      <c r="H14" s="166"/>
      <c r="I14" s="167">
        <f>MIN(I12:I13)</f>
        <v>8.24</v>
      </c>
    </row>
    <row r="15" spans="1:9" x14ac:dyDescent="0.25">
      <c r="F15" s="150"/>
      <c r="G15" s="118"/>
      <c r="H15" s="150"/>
      <c r="I15" s="150"/>
    </row>
    <row r="16" spans="1:9" x14ac:dyDescent="0.25">
      <c r="A16" s="227" t="s">
        <v>364</v>
      </c>
      <c r="B16" s="227"/>
      <c r="C16" s="227"/>
      <c r="D16" s="227"/>
      <c r="F16" s="227" t="s">
        <v>364</v>
      </c>
      <c r="G16" s="227"/>
      <c r="H16" s="227"/>
      <c r="I16" s="227"/>
    </row>
    <row r="17" spans="1:9" x14ac:dyDescent="0.25">
      <c r="A17" s="146">
        <v>3</v>
      </c>
      <c r="B17" s="228" t="s">
        <v>48</v>
      </c>
      <c r="C17" s="229"/>
      <c r="D17" s="230"/>
      <c r="F17" s="146">
        <v>3</v>
      </c>
      <c r="G17" s="228" t="s">
        <v>48</v>
      </c>
      <c r="H17" s="229"/>
      <c r="I17" s="230"/>
    </row>
    <row r="18" spans="1:9" x14ac:dyDescent="0.25">
      <c r="A18" s="227" t="s">
        <v>359</v>
      </c>
      <c r="B18" s="227"/>
      <c r="C18" s="227"/>
      <c r="D18" s="227"/>
      <c r="F18" s="227" t="s">
        <v>359</v>
      </c>
      <c r="G18" s="227"/>
      <c r="H18" s="227"/>
      <c r="I18" s="227"/>
    </row>
    <row r="19" spans="1:9" ht="19.5" customHeight="1" x14ac:dyDescent="0.25">
      <c r="A19" s="163" t="s">
        <v>52</v>
      </c>
      <c r="B19" s="163"/>
      <c r="C19" s="146" t="s">
        <v>34</v>
      </c>
      <c r="D19" s="146" t="s">
        <v>13</v>
      </c>
      <c r="F19" s="163" t="s">
        <v>52</v>
      </c>
      <c r="G19" s="163"/>
      <c r="H19" s="146" t="s">
        <v>34</v>
      </c>
      <c r="I19" s="146" t="s">
        <v>13</v>
      </c>
    </row>
    <row r="20" spans="1:9" x14ac:dyDescent="0.25">
      <c r="A20" s="151" t="s">
        <v>389</v>
      </c>
      <c r="B20" s="152"/>
      <c r="C20" s="153"/>
      <c r="D20" s="154">
        <v>39.92</v>
      </c>
      <c r="F20" s="151" t="s">
        <v>389</v>
      </c>
      <c r="G20" s="152"/>
      <c r="H20" s="153"/>
      <c r="I20" s="154">
        <v>62.01</v>
      </c>
    </row>
    <row r="21" spans="1:9" x14ac:dyDescent="0.25">
      <c r="A21" s="151" t="s">
        <v>390</v>
      </c>
      <c r="B21" s="152"/>
      <c r="C21" s="155"/>
      <c r="D21" s="154">
        <v>25.62</v>
      </c>
      <c r="F21" s="151" t="s">
        <v>390</v>
      </c>
      <c r="G21" s="152"/>
      <c r="H21" s="155"/>
      <c r="I21" s="154">
        <v>38.08</v>
      </c>
    </row>
    <row r="22" spans="1:9" x14ac:dyDescent="0.25">
      <c r="A22" s="164" t="s">
        <v>384</v>
      </c>
      <c r="B22" s="165"/>
      <c r="C22" s="166"/>
      <c r="D22" s="167">
        <f>MIN(D20:D21)</f>
        <v>25.62</v>
      </c>
      <c r="F22" s="164" t="s">
        <v>384</v>
      </c>
      <c r="G22" s="165"/>
      <c r="H22" s="166"/>
      <c r="I22" s="167">
        <f>MIN(I20:I21)</f>
        <v>38.08</v>
      </c>
    </row>
    <row r="23" spans="1:9" x14ac:dyDescent="0.25">
      <c r="A23" s="159"/>
      <c r="B23" s="160"/>
      <c r="C23" s="159"/>
      <c r="D23" s="159"/>
      <c r="F23" s="159"/>
      <c r="G23" s="160"/>
      <c r="H23" s="159"/>
      <c r="I23" s="159"/>
    </row>
    <row r="24" spans="1:9" x14ac:dyDescent="0.25">
      <c r="A24" s="227" t="s">
        <v>364</v>
      </c>
      <c r="B24" s="227"/>
      <c r="C24" s="227"/>
      <c r="D24" s="227"/>
      <c r="F24" s="227" t="s">
        <v>364</v>
      </c>
      <c r="G24" s="227"/>
      <c r="H24" s="227"/>
      <c r="I24" s="227"/>
    </row>
    <row r="25" spans="1:9" ht="30.95" customHeight="1" x14ac:dyDescent="0.25">
      <c r="A25" s="146">
        <v>4</v>
      </c>
      <c r="B25" s="228" t="s">
        <v>369</v>
      </c>
      <c r="C25" s="229"/>
      <c r="D25" s="230"/>
      <c r="F25" s="146">
        <v>4</v>
      </c>
      <c r="G25" s="228" t="s">
        <v>369</v>
      </c>
      <c r="H25" s="229"/>
      <c r="I25" s="230"/>
    </row>
    <row r="26" spans="1:9" x14ac:dyDescent="0.25">
      <c r="A26" s="227" t="s">
        <v>359</v>
      </c>
      <c r="B26" s="227"/>
      <c r="C26" s="227"/>
      <c r="D26" s="227"/>
      <c r="F26" s="227" t="s">
        <v>359</v>
      </c>
      <c r="G26" s="227"/>
      <c r="H26" s="227"/>
      <c r="I26" s="227"/>
    </row>
    <row r="27" spans="1:9" x14ac:dyDescent="0.25">
      <c r="A27" s="163" t="s">
        <v>58</v>
      </c>
      <c r="B27" s="163"/>
      <c r="C27" s="146" t="s">
        <v>34</v>
      </c>
      <c r="D27" s="146" t="s">
        <v>13</v>
      </c>
      <c r="F27" s="163" t="s">
        <v>58</v>
      </c>
      <c r="G27" s="163"/>
      <c r="H27" s="146" t="s">
        <v>34</v>
      </c>
      <c r="I27" s="146" t="s">
        <v>13</v>
      </c>
    </row>
    <row r="28" spans="1:9" x14ac:dyDescent="0.25">
      <c r="A28" s="151" t="s">
        <v>389</v>
      </c>
      <c r="B28" s="152"/>
      <c r="C28" s="153"/>
      <c r="D28" s="154">
        <v>8.1300000000000008</v>
      </c>
      <c r="F28" s="151" t="s">
        <v>389</v>
      </c>
      <c r="G28" s="152"/>
      <c r="H28" s="153"/>
      <c r="I28" s="154">
        <v>11.56</v>
      </c>
    </row>
    <row r="29" spans="1:9" x14ac:dyDescent="0.25">
      <c r="A29" s="151" t="s">
        <v>390</v>
      </c>
      <c r="B29" s="152"/>
      <c r="C29" s="155"/>
      <c r="D29" s="154">
        <v>3.7</v>
      </c>
      <c r="F29" s="151" t="s">
        <v>390</v>
      </c>
      <c r="G29" s="152"/>
      <c r="H29" s="155"/>
      <c r="I29" s="154">
        <v>5.5</v>
      </c>
    </row>
    <row r="30" spans="1:9" x14ac:dyDescent="0.25">
      <c r="A30" s="164" t="s">
        <v>384</v>
      </c>
      <c r="B30" s="165"/>
      <c r="C30" s="166"/>
      <c r="D30" s="167">
        <f>MIN(D28:D29)</f>
        <v>3.7</v>
      </c>
      <c r="F30" s="164" t="s">
        <v>384</v>
      </c>
      <c r="G30" s="165"/>
      <c r="H30" s="166"/>
      <c r="I30" s="167">
        <f>MIN(I28:I29)</f>
        <v>5.5</v>
      </c>
    </row>
    <row r="31" spans="1:9" x14ac:dyDescent="0.25">
      <c r="F31" s="150"/>
      <c r="G31" s="118"/>
      <c r="H31" s="150"/>
      <c r="I31" s="150"/>
    </row>
    <row r="32" spans="1:9" x14ac:dyDescent="0.25">
      <c r="A32" s="227" t="s">
        <v>364</v>
      </c>
      <c r="B32" s="227"/>
      <c r="C32" s="227"/>
      <c r="D32" s="227"/>
      <c r="F32" s="227" t="s">
        <v>364</v>
      </c>
      <c r="G32" s="227"/>
      <c r="H32" s="227"/>
      <c r="I32" s="227"/>
    </row>
    <row r="33" spans="1:9" ht="33" customHeight="1" x14ac:dyDescent="0.25">
      <c r="A33" s="146">
        <v>4</v>
      </c>
      <c r="B33" s="228" t="s">
        <v>371</v>
      </c>
      <c r="C33" s="229"/>
      <c r="D33" s="230"/>
      <c r="F33" s="146">
        <v>4</v>
      </c>
      <c r="G33" s="228" t="s">
        <v>371</v>
      </c>
      <c r="H33" s="229"/>
      <c r="I33" s="230"/>
    </row>
    <row r="34" spans="1:9" x14ac:dyDescent="0.25">
      <c r="A34" s="227" t="s">
        <v>359</v>
      </c>
      <c r="B34" s="227"/>
      <c r="C34" s="227"/>
      <c r="D34" s="227"/>
      <c r="F34" s="227" t="s">
        <v>359</v>
      </c>
      <c r="G34" s="227"/>
      <c r="H34" s="227"/>
      <c r="I34" s="227"/>
    </row>
    <row r="35" spans="1:9" x14ac:dyDescent="0.25">
      <c r="A35" s="163" t="s">
        <v>59</v>
      </c>
      <c r="B35" s="163"/>
      <c r="C35" s="146" t="s">
        <v>34</v>
      </c>
      <c r="D35" s="146" t="s">
        <v>13</v>
      </c>
      <c r="F35" s="163" t="s">
        <v>59</v>
      </c>
      <c r="G35" s="163"/>
      <c r="H35" s="146" t="s">
        <v>34</v>
      </c>
      <c r="I35" s="146" t="s">
        <v>13</v>
      </c>
    </row>
    <row r="36" spans="1:9" x14ac:dyDescent="0.25">
      <c r="A36" s="151" t="s">
        <v>389</v>
      </c>
      <c r="B36" s="152"/>
      <c r="C36" s="153"/>
      <c r="D36" s="154">
        <v>1.1599999999999999</v>
      </c>
      <c r="F36" s="151" t="s">
        <v>389</v>
      </c>
      <c r="G36" s="152"/>
      <c r="H36" s="153"/>
      <c r="I36" s="154">
        <v>1.65</v>
      </c>
    </row>
    <row r="37" spans="1:9" x14ac:dyDescent="0.25">
      <c r="A37" s="151" t="s">
        <v>390</v>
      </c>
      <c r="B37" s="152"/>
      <c r="C37" s="155"/>
      <c r="D37" s="154">
        <v>0.53</v>
      </c>
      <c r="F37" s="151" t="s">
        <v>390</v>
      </c>
      <c r="G37" s="152"/>
      <c r="H37" s="155"/>
      <c r="I37" s="154">
        <v>0.79</v>
      </c>
    </row>
    <row r="38" spans="1:9" x14ac:dyDescent="0.25">
      <c r="A38" s="164" t="s">
        <v>384</v>
      </c>
      <c r="B38" s="165"/>
      <c r="C38" s="166"/>
      <c r="D38" s="167">
        <f>MIN(D36:D37)</f>
        <v>0.53</v>
      </c>
      <c r="F38" s="164" t="s">
        <v>384</v>
      </c>
      <c r="G38" s="165"/>
      <c r="H38" s="166"/>
      <c r="I38" s="167">
        <f>MIN(I36:I37)</f>
        <v>0.79</v>
      </c>
    </row>
    <row r="39" spans="1:9" x14ac:dyDescent="0.25">
      <c r="F39" s="150"/>
      <c r="G39" s="118"/>
      <c r="H39" s="150"/>
      <c r="I39" s="150"/>
    </row>
    <row r="40" spans="1:9" x14ac:dyDescent="0.25">
      <c r="A40" s="227" t="s">
        <v>364</v>
      </c>
      <c r="B40" s="227"/>
      <c r="C40" s="227"/>
      <c r="D40" s="227"/>
      <c r="F40" s="227" t="s">
        <v>364</v>
      </c>
      <c r="G40" s="227"/>
      <c r="H40" s="227"/>
      <c r="I40" s="227"/>
    </row>
    <row r="41" spans="1:9" ht="28.5" customHeight="1" x14ac:dyDescent="0.25">
      <c r="A41" s="146">
        <v>4</v>
      </c>
      <c r="B41" s="228" t="s">
        <v>372</v>
      </c>
      <c r="C41" s="229"/>
      <c r="D41" s="230"/>
      <c r="F41" s="146">
        <v>4</v>
      </c>
      <c r="G41" s="228" t="s">
        <v>372</v>
      </c>
      <c r="H41" s="229"/>
      <c r="I41" s="230"/>
    </row>
    <row r="42" spans="1:9" x14ac:dyDescent="0.25">
      <c r="A42" s="227" t="s">
        <v>359</v>
      </c>
      <c r="B42" s="227"/>
      <c r="C42" s="227"/>
      <c r="D42" s="227"/>
      <c r="F42" s="227" t="s">
        <v>359</v>
      </c>
      <c r="G42" s="227"/>
      <c r="H42" s="227"/>
      <c r="I42" s="227"/>
    </row>
    <row r="43" spans="1:9" ht="25.5" x14ac:dyDescent="0.25">
      <c r="A43" s="163" t="s">
        <v>60</v>
      </c>
      <c r="B43" s="163"/>
      <c r="C43" s="146" t="s">
        <v>34</v>
      </c>
      <c r="D43" s="146" t="s">
        <v>13</v>
      </c>
      <c r="F43" s="163" t="s">
        <v>60</v>
      </c>
      <c r="G43" s="163"/>
      <c r="H43" s="146" t="s">
        <v>34</v>
      </c>
      <c r="I43" s="146" t="s">
        <v>13</v>
      </c>
    </row>
    <row r="44" spans="1:9" x14ac:dyDescent="0.25">
      <c r="A44" s="151" t="s">
        <v>389</v>
      </c>
      <c r="B44" s="152"/>
      <c r="C44" s="153"/>
      <c r="D44" s="154">
        <v>0.87</v>
      </c>
      <c r="F44" s="151" t="s">
        <v>389</v>
      </c>
      <c r="G44" s="152"/>
      <c r="H44" s="153"/>
      <c r="I44" s="154">
        <v>1.24</v>
      </c>
    </row>
    <row r="45" spans="1:9" x14ac:dyDescent="0.25">
      <c r="A45" s="151" t="s">
        <v>390</v>
      </c>
      <c r="B45" s="152"/>
      <c r="C45" s="155"/>
      <c r="D45" s="154">
        <v>0.4</v>
      </c>
      <c r="F45" s="151" t="s">
        <v>390</v>
      </c>
      <c r="G45" s="152"/>
      <c r="H45" s="155"/>
      <c r="I45" s="154">
        <v>0.59</v>
      </c>
    </row>
    <row r="46" spans="1:9" x14ac:dyDescent="0.25">
      <c r="A46" s="164" t="s">
        <v>384</v>
      </c>
      <c r="B46" s="165"/>
      <c r="C46" s="166"/>
      <c r="D46" s="167">
        <f>MIN(D44:D45)</f>
        <v>0.4</v>
      </c>
      <c r="F46" s="164" t="s">
        <v>384</v>
      </c>
      <c r="G46" s="165"/>
      <c r="H46" s="166"/>
      <c r="I46" s="167">
        <f>MIN(I44:I45)</f>
        <v>0.59</v>
      </c>
    </row>
    <row r="47" spans="1:9" x14ac:dyDescent="0.25">
      <c r="F47" s="150"/>
      <c r="G47" s="118"/>
      <c r="H47" s="150"/>
      <c r="I47" s="150"/>
    </row>
    <row r="48" spans="1:9" x14ac:dyDescent="0.25">
      <c r="A48" s="227" t="s">
        <v>364</v>
      </c>
      <c r="B48" s="227"/>
      <c r="C48" s="227"/>
      <c r="D48" s="227"/>
      <c r="F48" s="227" t="s">
        <v>364</v>
      </c>
      <c r="G48" s="227"/>
      <c r="H48" s="227"/>
      <c r="I48" s="227"/>
    </row>
    <row r="49" spans="1:9" ht="30.6" customHeight="1" x14ac:dyDescent="0.25">
      <c r="A49" s="146">
        <v>4</v>
      </c>
      <c r="B49" s="228" t="s">
        <v>373</v>
      </c>
      <c r="C49" s="229"/>
      <c r="D49" s="230"/>
      <c r="F49" s="146">
        <v>4</v>
      </c>
      <c r="G49" s="228" t="s">
        <v>373</v>
      </c>
      <c r="H49" s="229"/>
      <c r="I49" s="230"/>
    </row>
    <row r="50" spans="1:9" x14ac:dyDescent="0.25">
      <c r="A50" s="227" t="s">
        <v>359</v>
      </c>
      <c r="B50" s="227"/>
      <c r="C50" s="227"/>
      <c r="D50" s="227"/>
      <c r="F50" s="227" t="s">
        <v>359</v>
      </c>
      <c r="G50" s="227"/>
      <c r="H50" s="227"/>
      <c r="I50" s="227"/>
    </row>
    <row r="51" spans="1:9" ht="25.5" x14ac:dyDescent="0.25">
      <c r="A51" s="163" t="s">
        <v>61</v>
      </c>
      <c r="B51" s="163"/>
      <c r="C51" s="146" t="s">
        <v>34</v>
      </c>
      <c r="D51" s="146" t="s">
        <v>13</v>
      </c>
      <c r="F51" s="163" t="s">
        <v>61</v>
      </c>
      <c r="G51" s="163"/>
      <c r="H51" s="146" t="s">
        <v>34</v>
      </c>
      <c r="I51" s="146" t="s">
        <v>13</v>
      </c>
    </row>
    <row r="52" spans="1:9" x14ac:dyDescent="0.25">
      <c r="A52" s="151" t="s">
        <v>389</v>
      </c>
      <c r="B52" s="152"/>
      <c r="C52" s="153"/>
      <c r="D52" s="154">
        <v>0.57999999999999996</v>
      </c>
      <c r="F52" s="151" t="s">
        <v>389</v>
      </c>
      <c r="G52" s="152"/>
      <c r="H52" s="153"/>
      <c r="I52" s="154">
        <v>0.83</v>
      </c>
    </row>
    <row r="53" spans="1:9" x14ac:dyDescent="0.25">
      <c r="A53" s="151" t="s">
        <v>390</v>
      </c>
      <c r="B53" s="152"/>
      <c r="C53" s="155"/>
      <c r="D53" s="154">
        <v>0.26</v>
      </c>
      <c r="F53" s="151" t="s">
        <v>390</v>
      </c>
      <c r="G53" s="152"/>
      <c r="H53" s="155"/>
      <c r="I53" s="154">
        <v>0.39</v>
      </c>
    </row>
    <row r="54" spans="1:9" x14ac:dyDescent="0.25">
      <c r="A54" s="164" t="s">
        <v>384</v>
      </c>
      <c r="B54" s="165"/>
      <c r="C54" s="166"/>
      <c r="D54" s="167">
        <f>MIN(D52:D53)</f>
        <v>0.26</v>
      </c>
      <c r="F54" s="164" t="s">
        <v>384</v>
      </c>
      <c r="G54" s="165"/>
      <c r="H54" s="166"/>
      <c r="I54" s="167">
        <f>MIN(I52:I53)</f>
        <v>0.39</v>
      </c>
    </row>
    <row r="55" spans="1:9" x14ac:dyDescent="0.25">
      <c r="F55" s="150"/>
      <c r="G55" s="118"/>
      <c r="H55" s="150"/>
      <c r="I55" s="150"/>
    </row>
    <row r="56" spans="1:9" x14ac:dyDescent="0.25">
      <c r="A56" s="227" t="s">
        <v>364</v>
      </c>
      <c r="B56" s="227"/>
      <c r="C56" s="227"/>
      <c r="D56" s="227"/>
      <c r="F56" s="227" t="s">
        <v>364</v>
      </c>
      <c r="G56" s="227"/>
      <c r="H56" s="227"/>
      <c r="I56" s="227"/>
    </row>
    <row r="57" spans="1:9" x14ac:dyDescent="0.25">
      <c r="A57" s="146">
        <v>5</v>
      </c>
      <c r="B57" s="228" t="s">
        <v>374</v>
      </c>
      <c r="C57" s="229"/>
      <c r="D57" s="230"/>
      <c r="F57" s="146">
        <v>5</v>
      </c>
      <c r="G57" s="228" t="s">
        <v>374</v>
      </c>
      <c r="H57" s="229"/>
      <c r="I57" s="230"/>
    </row>
    <row r="58" spans="1:9" x14ac:dyDescent="0.25">
      <c r="A58" s="227" t="s">
        <v>359</v>
      </c>
      <c r="B58" s="227"/>
      <c r="C58" s="227"/>
      <c r="D58" s="227"/>
      <c r="F58" s="227" t="s">
        <v>359</v>
      </c>
      <c r="G58" s="227"/>
      <c r="H58" s="227"/>
      <c r="I58" s="227"/>
    </row>
    <row r="59" spans="1:9" x14ac:dyDescent="0.25">
      <c r="A59" s="163" t="s">
        <v>68</v>
      </c>
      <c r="B59" s="163"/>
      <c r="C59" s="146" t="s">
        <v>34</v>
      </c>
      <c r="D59" s="146" t="s">
        <v>13</v>
      </c>
      <c r="F59" s="163" t="s">
        <v>68</v>
      </c>
      <c r="G59" s="163"/>
      <c r="H59" s="146" t="s">
        <v>34</v>
      </c>
      <c r="I59" s="146" t="s">
        <v>13</v>
      </c>
    </row>
    <row r="60" spans="1:9" x14ac:dyDescent="0.25">
      <c r="A60" s="151" t="s">
        <v>389</v>
      </c>
      <c r="B60" s="152"/>
      <c r="C60" s="153"/>
      <c r="D60" s="154">
        <v>30.22</v>
      </c>
      <c r="F60" s="151" t="s">
        <v>389</v>
      </c>
      <c r="G60" s="152"/>
      <c r="H60" s="153"/>
      <c r="I60" s="154">
        <v>30.22</v>
      </c>
    </row>
    <row r="61" spans="1:9" x14ac:dyDescent="0.25">
      <c r="A61" s="151" t="s">
        <v>390</v>
      </c>
      <c r="B61" s="152"/>
      <c r="C61" s="155"/>
      <c r="D61" s="154">
        <v>155</v>
      </c>
      <c r="F61" s="151" t="s">
        <v>390</v>
      </c>
      <c r="G61" s="152"/>
      <c r="H61" s="155"/>
      <c r="I61" s="154">
        <v>100</v>
      </c>
    </row>
    <row r="62" spans="1:9" x14ac:dyDescent="0.25">
      <c r="A62" s="164" t="s">
        <v>384</v>
      </c>
      <c r="B62" s="165"/>
      <c r="C62" s="166"/>
      <c r="D62" s="167">
        <f>MIN(D60:D61)</f>
        <v>30.22</v>
      </c>
      <c r="F62" s="164" t="s">
        <v>384</v>
      </c>
      <c r="G62" s="165"/>
      <c r="H62" s="166"/>
      <c r="I62" s="167">
        <f>MIN(I60:I61)</f>
        <v>30.22</v>
      </c>
    </row>
    <row r="63" spans="1:9" x14ac:dyDescent="0.25">
      <c r="F63" s="150"/>
      <c r="G63" s="118"/>
      <c r="H63" s="150"/>
      <c r="I63" s="150"/>
    </row>
    <row r="64" spans="1:9" x14ac:dyDescent="0.25">
      <c r="A64" s="227" t="s">
        <v>364</v>
      </c>
      <c r="B64" s="227"/>
      <c r="C64" s="227"/>
      <c r="D64" s="227"/>
      <c r="F64" s="227" t="s">
        <v>364</v>
      </c>
      <c r="G64" s="227"/>
      <c r="H64" s="227"/>
      <c r="I64" s="227"/>
    </row>
    <row r="65" spans="1:9" x14ac:dyDescent="0.25">
      <c r="A65" s="146">
        <v>6</v>
      </c>
      <c r="B65" s="228" t="s">
        <v>7</v>
      </c>
      <c r="C65" s="229"/>
      <c r="D65" s="230"/>
      <c r="F65" s="146">
        <v>6</v>
      </c>
      <c r="G65" s="228" t="s">
        <v>7</v>
      </c>
      <c r="H65" s="229"/>
      <c r="I65" s="230"/>
    </row>
    <row r="66" spans="1:9" x14ac:dyDescent="0.25">
      <c r="A66" s="227" t="s">
        <v>359</v>
      </c>
      <c r="B66" s="227"/>
      <c r="C66" s="227"/>
      <c r="D66" s="227"/>
      <c r="F66" s="227" t="s">
        <v>359</v>
      </c>
      <c r="G66" s="227"/>
      <c r="H66" s="227"/>
      <c r="I66" s="227"/>
    </row>
    <row r="67" spans="1:9" x14ac:dyDescent="0.25">
      <c r="A67" s="163" t="s">
        <v>8</v>
      </c>
      <c r="B67" s="163"/>
      <c r="C67" s="146" t="s">
        <v>34</v>
      </c>
      <c r="D67" s="146" t="s">
        <v>13</v>
      </c>
      <c r="F67" s="163" t="s">
        <v>8</v>
      </c>
      <c r="G67" s="163"/>
      <c r="H67" s="146" t="s">
        <v>34</v>
      </c>
      <c r="I67" s="146" t="s">
        <v>13</v>
      </c>
    </row>
    <row r="68" spans="1:9" x14ac:dyDescent="0.25">
      <c r="A68" s="151" t="s">
        <v>389</v>
      </c>
      <c r="B68" s="152"/>
      <c r="C68" s="155">
        <v>0.1</v>
      </c>
      <c r="D68" s="154"/>
      <c r="F68" s="151" t="s">
        <v>389</v>
      </c>
      <c r="G68" s="152"/>
      <c r="H68" s="155">
        <v>0.15</v>
      </c>
      <c r="I68" s="154"/>
    </row>
    <row r="69" spans="1:9" x14ac:dyDescent="0.25">
      <c r="A69" s="151" t="s">
        <v>390</v>
      </c>
      <c r="B69" s="152"/>
      <c r="C69" s="155">
        <v>0.15</v>
      </c>
      <c r="D69" s="154"/>
      <c r="F69" s="151" t="s">
        <v>390</v>
      </c>
      <c r="G69" s="152"/>
      <c r="H69" s="155">
        <v>0.1</v>
      </c>
      <c r="I69" s="154"/>
    </row>
    <row r="70" spans="1:9" x14ac:dyDescent="0.25">
      <c r="A70" s="164" t="s">
        <v>384</v>
      </c>
      <c r="B70" s="165"/>
      <c r="C70" s="166">
        <f>MIN(C68:C69)</f>
        <v>0.1</v>
      </c>
      <c r="D70" s="167"/>
      <c r="F70" s="164" t="s">
        <v>384</v>
      </c>
      <c r="G70" s="165"/>
      <c r="H70" s="166">
        <f>MIN(H68:H69)</f>
        <v>0.1</v>
      </c>
      <c r="I70" s="167"/>
    </row>
    <row r="71" spans="1:9" x14ac:dyDescent="0.25">
      <c r="F71" s="150"/>
      <c r="G71" s="118"/>
      <c r="H71" s="150"/>
      <c r="I71" s="150"/>
    </row>
    <row r="72" spans="1:9" x14ac:dyDescent="0.25">
      <c r="A72" s="227" t="s">
        <v>364</v>
      </c>
      <c r="B72" s="227"/>
      <c r="C72" s="227"/>
      <c r="D72" s="227"/>
      <c r="F72" s="227" t="s">
        <v>364</v>
      </c>
      <c r="G72" s="227"/>
      <c r="H72" s="227"/>
      <c r="I72" s="227"/>
    </row>
    <row r="73" spans="1:9" x14ac:dyDescent="0.25">
      <c r="A73" s="146">
        <v>6</v>
      </c>
      <c r="B73" s="228" t="s">
        <v>7</v>
      </c>
      <c r="C73" s="229"/>
      <c r="D73" s="230"/>
      <c r="F73" s="146">
        <v>6</v>
      </c>
      <c r="G73" s="228" t="s">
        <v>7</v>
      </c>
      <c r="H73" s="229"/>
      <c r="I73" s="230"/>
    </row>
    <row r="74" spans="1:9" x14ac:dyDescent="0.25">
      <c r="A74" s="227" t="s">
        <v>359</v>
      </c>
      <c r="B74" s="227"/>
      <c r="C74" s="227"/>
      <c r="D74" s="227"/>
      <c r="F74" s="227" t="s">
        <v>359</v>
      </c>
      <c r="G74" s="227"/>
      <c r="H74" s="227"/>
      <c r="I74" s="227"/>
    </row>
    <row r="75" spans="1:9" x14ac:dyDescent="0.25">
      <c r="A75" s="163" t="s">
        <v>10</v>
      </c>
      <c r="B75" s="163"/>
      <c r="C75" s="146" t="s">
        <v>34</v>
      </c>
      <c r="D75" s="146" t="s">
        <v>13</v>
      </c>
      <c r="F75" s="163" t="s">
        <v>10</v>
      </c>
      <c r="G75" s="163"/>
      <c r="H75" s="146" t="s">
        <v>34</v>
      </c>
      <c r="I75" s="146" t="s">
        <v>13</v>
      </c>
    </row>
    <row r="76" spans="1:9" x14ac:dyDescent="0.25">
      <c r="A76" s="151" t="s">
        <v>389</v>
      </c>
      <c r="B76" s="152"/>
      <c r="C76" s="155">
        <v>0.1</v>
      </c>
      <c r="D76" s="154"/>
      <c r="F76" s="151" t="s">
        <v>389</v>
      </c>
      <c r="G76" s="152"/>
      <c r="H76" s="155">
        <v>0.15</v>
      </c>
      <c r="I76" s="154"/>
    </row>
    <row r="77" spans="1:9" x14ac:dyDescent="0.25">
      <c r="A77" s="151" t="s">
        <v>390</v>
      </c>
      <c r="B77" s="152"/>
      <c r="C77" s="155">
        <v>0.15</v>
      </c>
      <c r="D77" s="154"/>
      <c r="F77" s="151" t="s">
        <v>390</v>
      </c>
      <c r="G77" s="152"/>
      <c r="H77" s="155">
        <v>0.1</v>
      </c>
      <c r="I77" s="154"/>
    </row>
    <row r="78" spans="1:9" x14ac:dyDescent="0.25">
      <c r="A78" s="164" t="s">
        <v>384</v>
      </c>
      <c r="B78" s="165"/>
      <c r="C78" s="166">
        <f>MIN(C76:C77)</f>
        <v>0.1</v>
      </c>
      <c r="D78" s="167"/>
      <c r="F78" s="164" t="s">
        <v>384</v>
      </c>
      <c r="G78" s="165"/>
      <c r="H78" s="166">
        <f>MIN(H76:H77)</f>
        <v>0.1</v>
      </c>
      <c r="I78" s="167"/>
    </row>
  </sheetData>
  <mergeCells count="60">
    <mergeCell ref="A58:D58"/>
    <mergeCell ref="A74:D74"/>
    <mergeCell ref="A64:D64"/>
    <mergeCell ref="B65:D65"/>
    <mergeCell ref="A66:D66"/>
    <mergeCell ref="A72:D72"/>
    <mergeCell ref="B73:D73"/>
    <mergeCell ref="A48:D48"/>
    <mergeCell ref="B49:D49"/>
    <mergeCell ref="A50:D50"/>
    <mergeCell ref="A56:D56"/>
    <mergeCell ref="B57:D57"/>
    <mergeCell ref="A42:D42"/>
    <mergeCell ref="A16:D16"/>
    <mergeCell ref="A18:D18"/>
    <mergeCell ref="A24:D24"/>
    <mergeCell ref="A26:D26"/>
    <mergeCell ref="A32:D32"/>
    <mergeCell ref="B33:D33"/>
    <mergeCell ref="A34:D34"/>
    <mergeCell ref="A40:D40"/>
    <mergeCell ref="B41:D41"/>
    <mergeCell ref="B9:D9"/>
    <mergeCell ref="B17:D17"/>
    <mergeCell ref="B25:D25"/>
    <mergeCell ref="A1:D1"/>
    <mergeCell ref="A2:D2"/>
    <mergeCell ref="A3:D3"/>
    <mergeCell ref="A8:D8"/>
    <mergeCell ref="A10:D10"/>
    <mergeCell ref="F1:I1"/>
    <mergeCell ref="F2:I2"/>
    <mergeCell ref="F3:I3"/>
    <mergeCell ref="F8:I8"/>
    <mergeCell ref="G9:I9"/>
    <mergeCell ref="F10:I10"/>
    <mergeCell ref="F16:I16"/>
    <mergeCell ref="G17:I17"/>
    <mergeCell ref="F18:I18"/>
    <mergeCell ref="F24:I24"/>
    <mergeCell ref="G25:I25"/>
    <mergeCell ref="F26:I26"/>
    <mergeCell ref="F32:I32"/>
    <mergeCell ref="G33:I33"/>
    <mergeCell ref="F34:I34"/>
    <mergeCell ref="F50:I50"/>
    <mergeCell ref="F56:I56"/>
    <mergeCell ref="G57:I57"/>
    <mergeCell ref="F58:I58"/>
    <mergeCell ref="F40:I40"/>
    <mergeCell ref="G41:I41"/>
    <mergeCell ref="F42:I42"/>
    <mergeCell ref="F48:I48"/>
    <mergeCell ref="G49:I49"/>
    <mergeCell ref="F66:I66"/>
    <mergeCell ref="F72:I72"/>
    <mergeCell ref="G73:I73"/>
    <mergeCell ref="F74:I74"/>
    <mergeCell ref="F64:I64"/>
    <mergeCell ref="G65:I65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E1166-2611-46E7-8C92-9CC786FFA40E}">
  <dimension ref="A1:E13"/>
  <sheetViews>
    <sheetView workbookViewId="0">
      <selection activeCell="B13" sqref="B13"/>
    </sheetView>
  </sheetViews>
  <sheetFormatPr defaultRowHeight="15" x14ac:dyDescent="0.25"/>
  <cols>
    <col min="1" max="1" width="62.5703125" customWidth="1"/>
    <col min="2" max="2" width="13.42578125" customWidth="1"/>
    <col min="3" max="3" width="5.5703125" customWidth="1"/>
    <col min="4" max="4" width="63.85546875" customWidth="1"/>
    <col min="5" max="5" width="13.140625" customWidth="1"/>
  </cols>
  <sheetData>
    <row r="1" spans="1:5" x14ac:dyDescent="0.25">
      <c r="A1" s="232" t="s">
        <v>358</v>
      </c>
      <c r="B1" s="232"/>
      <c r="C1" s="161"/>
      <c r="D1" s="232" t="s">
        <v>358</v>
      </c>
      <c r="E1" s="232"/>
    </row>
    <row r="2" spans="1:5" x14ac:dyDescent="0.25">
      <c r="A2" s="232" t="s">
        <v>366</v>
      </c>
      <c r="B2" s="232"/>
      <c r="C2" s="161"/>
      <c r="D2" s="232" t="s">
        <v>366</v>
      </c>
      <c r="E2" s="232"/>
    </row>
    <row r="3" spans="1:5" x14ac:dyDescent="0.25">
      <c r="A3" s="148"/>
      <c r="B3" s="149"/>
      <c r="C3" s="148"/>
      <c r="D3" s="148"/>
      <c r="E3" s="149"/>
    </row>
    <row r="4" spans="1:5" x14ac:dyDescent="0.25">
      <c r="A4" s="232" t="s">
        <v>362</v>
      </c>
      <c r="B4" s="232"/>
      <c r="C4" s="148"/>
      <c r="D4" s="232" t="s">
        <v>375</v>
      </c>
      <c r="E4" s="232"/>
    </row>
    <row r="5" spans="1:5" x14ac:dyDescent="0.25">
      <c r="A5" s="168" t="s">
        <v>11</v>
      </c>
      <c r="B5" s="162">
        <v>1320.87</v>
      </c>
      <c r="C5" s="148"/>
      <c r="D5" s="168" t="s">
        <v>11</v>
      </c>
      <c r="E5" s="162">
        <v>1962.8</v>
      </c>
    </row>
    <row r="6" spans="1:5" x14ac:dyDescent="0.25">
      <c r="A6" s="168" t="s">
        <v>27</v>
      </c>
      <c r="B6" s="162">
        <v>256.77999999999997</v>
      </c>
      <c r="D6" s="168" t="s">
        <v>27</v>
      </c>
      <c r="E6" s="162">
        <v>381.57</v>
      </c>
    </row>
    <row r="7" spans="1:5" ht="28.5" customHeight="1" x14ac:dyDescent="0.25">
      <c r="A7" s="168" t="s">
        <v>31</v>
      </c>
      <c r="B7" s="162">
        <v>480.14</v>
      </c>
      <c r="D7" s="168" t="s">
        <v>31</v>
      </c>
      <c r="E7" s="162">
        <v>713.48</v>
      </c>
    </row>
    <row r="8" spans="1:5" ht="21.6" customHeight="1" x14ac:dyDescent="0.25">
      <c r="A8" s="168" t="s">
        <v>379</v>
      </c>
      <c r="B8" s="162">
        <v>19.899999999999999</v>
      </c>
      <c r="D8" s="168" t="s">
        <v>379</v>
      </c>
      <c r="E8" s="162">
        <v>19.899999999999999</v>
      </c>
    </row>
    <row r="9" spans="1:5" ht="28.5" customHeight="1" x14ac:dyDescent="0.25">
      <c r="A9" s="168" t="s">
        <v>380</v>
      </c>
      <c r="B9" s="162">
        <v>6</v>
      </c>
      <c r="D9" s="168" t="s">
        <v>380</v>
      </c>
      <c r="E9" s="162">
        <v>6</v>
      </c>
    </row>
    <row r="10" spans="1:5" x14ac:dyDescent="0.25">
      <c r="A10" s="168" t="s">
        <v>47</v>
      </c>
      <c r="B10" s="162">
        <v>104.33</v>
      </c>
      <c r="D10" s="168" t="s">
        <v>47</v>
      </c>
      <c r="E10" s="162">
        <v>241.67</v>
      </c>
    </row>
    <row r="11" spans="1:5" x14ac:dyDescent="0.25">
      <c r="A11" s="168" t="s">
        <v>367</v>
      </c>
      <c r="B11" s="162">
        <v>92.61</v>
      </c>
      <c r="D11" s="168" t="s">
        <v>367</v>
      </c>
      <c r="E11" s="162">
        <v>30.22</v>
      </c>
    </row>
    <row r="12" spans="1:5" x14ac:dyDescent="0.25">
      <c r="A12" s="169" t="s">
        <v>141</v>
      </c>
      <c r="B12" s="170">
        <f>SUM(B5:B11)</f>
        <v>2280.63</v>
      </c>
      <c r="D12" s="169" t="s">
        <v>141</v>
      </c>
      <c r="E12" s="170">
        <f>SUM(E5:E11)</f>
        <v>3355.64</v>
      </c>
    </row>
    <row r="13" spans="1:5" x14ac:dyDescent="0.25">
      <c r="A13" s="171" t="s">
        <v>368</v>
      </c>
      <c r="B13" s="172">
        <f>B12/12</f>
        <v>190.05250000000001</v>
      </c>
      <c r="D13" s="171" t="s">
        <v>368</v>
      </c>
      <c r="E13" s="172">
        <f>E12/12</f>
        <v>279.63666666666666</v>
      </c>
    </row>
  </sheetData>
  <mergeCells count="6">
    <mergeCell ref="A4:B4"/>
    <mergeCell ref="A1:B1"/>
    <mergeCell ref="A2:B2"/>
    <mergeCell ref="D1:E1"/>
    <mergeCell ref="D2:E2"/>
    <mergeCell ref="D4:E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CD28-1775-49EF-A9C6-1CCA34C88EC7}">
  <dimension ref="A1:L52"/>
  <sheetViews>
    <sheetView view="pageBreakPreview" zoomScaleSheetLayoutView="100" workbookViewId="0">
      <selection sqref="A1:I1"/>
    </sheetView>
  </sheetViews>
  <sheetFormatPr defaultColWidth="9.28515625" defaultRowHeight="17.25" x14ac:dyDescent="0.3"/>
  <cols>
    <col min="1" max="1" width="2.85546875" style="117" bestFit="1" customWidth="1"/>
    <col min="2" max="2" width="70.7109375" style="118" customWidth="1"/>
    <col min="3" max="3" width="7.85546875" style="117" bestFit="1" customWidth="1"/>
    <col min="4" max="4" width="5.85546875" style="117" bestFit="1" customWidth="1"/>
    <col min="5" max="5" width="20.7109375" style="119" bestFit="1" customWidth="1"/>
    <col min="6" max="6" width="8.42578125" style="117" customWidth="1"/>
    <col min="7" max="7" width="10.5703125" style="117" bestFit="1" customWidth="1"/>
    <col min="8" max="8" width="9.140625" style="117" customWidth="1"/>
    <col min="9" max="9" width="10.42578125" style="117" bestFit="1" customWidth="1"/>
    <col min="10" max="11" width="9.28515625" style="116"/>
    <col min="12" max="12" width="14.5703125" style="116" customWidth="1"/>
    <col min="13" max="16384" width="9.28515625" style="116"/>
  </cols>
  <sheetData>
    <row r="1" spans="1:12" ht="15.95" customHeight="1" x14ac:dyDescent="0.3">
      <c r="A1" s="232" t="s">
        <v>243</v>
      </c>
      <c r="B1" s="232"/>
      <c r="C1" s="232"/>
      <c r="D1" s="232"/>
      <c r="E1" s="232"/>
      <c r="F1" s="232"/>
      <c r="G1" s="232"/>
      <c r="H1" s="232"/>
      <c r="I1" s="232"/>
    </row>
    <row r="2" spans="1:12" ht="7.5" customHeight="1" thickBot="1" x14ac:dyDescent="0.35"/>
    <row r="3" spans="1:12" ht="28.5" customHeight="1" thickTop="1" x14ac:dyDescent="0.3">
      <c r="A3" s="120" t="s">
        <v>244</v>
      </c>
      <c r="B3" s="120" t="s">
        <v>124</v>
      </c>
      <c r="C3" s="120" t="s">
        <v>245</v>
      </c>
      <c r="D3" s="120" t="s">
        <v>246</v>
      </c>
      <c r="E3" s="120" t="s">
        <v>247</v>
      </c>
      <c r="F3" s="120" t="s">
        <v>248</v>
      </c>
      <c r="G3" s="120" t="s">
        <v>249</v>
      </c>
      <c r="H3" s="121" t="s">
        <v>250</v>
      </c>
      <c r="I3" s="122" t="s">
        <v>251</v>
      </c>
    </row>
    <row r="4" spans="1:12" ht="15.95" customHeight="1" x14ac:dyDescent="0.3">
      <c r="A4" s="123">
        <v>1</v>
      </c>
      <c r="B4" s="124" t="s">
        <v>252</v>
      </c>
      <c r="C4" s="125" t="s">
        <v>253</v>
      </c>
      <c r="D4" s="125" t="s">
        <v>254</v>
      </c>
      <c r="E4" s="126" t="s">
        <v>255</v>
      </c>
      <c r="F4" s="125">
        <v>150</v>
      </c>
      <c r="G4" s="125" t="s">
        <v>256</v>
      </c>
      <c r="H4" s="127">
        <v>6.55</v>
      </c>
      <c r="I4" s="128">
        <f>F4*H4</f>
        <v>982.5</v>
      </c>
      <c r="L4" s="191"/>
    </row>
    <row r="5" spans="1:12" ht="15.95" customHeight="1" x14ac:dyDescent="0.3">
      <c r="A5" s="123">
        <v>2</v>
      </c>
      <c r="B5" s="124" t="s">
        <v>257</v>
      </c>
      <c r="C5" s="125" t="s">
        <v>258</v>
      </c>
      <c r="D5" s="125" t="s">
        <v>254</v>
      </c>
      <c r="E5" s="126" t="s">
        <v>259</v>
      </c>
      <c r="F5" s="125">
        <v>25</v>
      </c>
      <c r="G5" s="125" t="s">
        <v>256</v>
      </c>
      <c r="H5" s="127">
        <v>12</v>
      </c>
      <c r="I5" s="128">
        <f t="shared" ref="I5:I45" si="0">F5*H5</f>
        <v>300</v>
      </c>
      <c r="L5" s="191"/>
    </row>
    <row r="6" spans="1:12" ht="15.95" customHeight="1" x14ac:dyDescent="0.3">
      <c r="A6" s="123">
        <v>3</v>
      </c>
      <c r="B6" s="129" t="s">
        <v>260</v>
      </c>
      <c r="C6" s="123" t="s">
        <v>253</v>
      </c>
      <c r="D6" s="123" t="s">
        <v>254</v>
      </c>
      <c r="E6" s="130" t="s">
        <v>261</v>
      </c>
      <c r="F6" s="123">
        <v>10</v>
      </c>
      <c r="G6" s="125" t="s">
        <v>256</v>
      </c>
      <c r="H6" s="127">
        <v>9.9</v>
      </c>
      <c r="I6" s="128">
        <f t="shared" si="0"/>
        <v>99</v>
      </c>
      <c r="L6" s="191"/>
    </row>
    <row r="7" spans="1:12" ht="15.95" customHeight="1" x14ac:dyDescent="0.3">
      <c r="A7" s="123">
        <v>4</v>
      </c>
      <c r="B7" s="124" t="s">
        <v>262</v>
      </c>
      <c r="C7" s="125" t="s">
        <v>263</v>
      </c>
      <c r="D7" s="125" t="s">
        <v>254</v>
      </c>
      <c r="E7" s="126" t="s">
        <v>264</v>
      </c>
      <c r="F7" s="125">
        <v>40</v>
      </c>
      <c r="G7" s="125" t="s">
        <v>256</v>
      </c>
      <c r="H7" s="127">
        <v>13.55</v>
      </c>
      <c r="I7" s="128">
        <f t="shared" si="0"/>
        <v>542</v>
      </c>
      <c r="L7" s="191"/>
    </row>
    <row r="8" spans="1:12" ht="15.95" customHeight="1" x14ac:dyDescent="0.3">
      <c r="A8" s="123">
        <v>5</v>
      </c>
      <c r="B8" s="124" t="s">
        <v>265</v>
      </c>
      <c r="C8" s="125" t="s">
        <v>263</v>
      </c>
      <c r="D8" s="125" t="s">
        <v>254</v>
      </c>
      <c r="E8" s="126" t="s">
        <v>261</v>
      </c>
      <c r="F8" s="125">
        <v>48</v>
      </c>
      <c r="G8" s="125" t="s">
        <v>256</v>
      </c>
      <c r="H8" s="127">
        <v>3</v>
      </c>
      <c r="I8" s="128">
        <f t="shared" si="0"/>
        <v>144</v>
      </c>
      <c r="L8" s="191"/>
    </row>
    <row r="9" spans="1:12" ht="15.95" customHeight="1" x14ac:dyDescent="0.3">
      <c r="A9" s="123">
        <v>6</v>
      </c>
      <c r="B9" s="124" t="s">
        <v>266</v>
      </c>
      <c r="C9" s="125" t="s">
        <v>263</v>
      </c>
      <c r="D9" s="125" t="s">
        <v>254</v>
      </c>
      <c r="E9" s="126" t="s">
        <v>267</v>
      </c>
      <c r="F9" s="125">
        <v>10</v>
      </c>
      <c r="G9" s="125" t="s">
        <v>256</v>
      </c>
      <c r="H9" s="127">
        <v>45</v>
      </c>
      <c r="I9" s="128">
        <f t="shared" si="0"/>
        <v>450</v>
      </c>
      <c r="L9" s="191"/>
    </row>
    <row r="10" spans="1:12" s="131" customFormat="1" ht="15.95" customHeight="1" x14ac:dyDescent="0.3">
      <c r="A10" s="123">
        <v>7</v>
      </c>
      <c r="B10" s="124" t="s">
        <v>268</v>
      </c>
      <c r="C10" s="125" t="s">
        <v>263</v>
      </c>
      <c r="D10" s="125" t="s">
        <v>254</v>
      </c>
      <c r="E10" s="126" t="s">
        <v>269</v>
      </c>
      <c r="F10" s="125">
        <v>32</v>
      </c>
      <c r="G10" s="125" t="s">
        <v>256</v>
      </c>
      <c r="H10" s="127">
        <v>3.49</v>
      </c>
      <c r="I10" s="128">
        <f t="shared" si="0"/>
        <v>111.68</v>
      </c>
      <c r="L10" s="191"/>
    </row>
    <row r="11" spans="1:12" ht="15.95" customHeight="1" x14ac:dyDescent="0.3">
      <c r="A11" s="123">
        <v>8</v>
      </c>
      <c r="B11" s="124" t="s">
        <v>270</v>
      </c>
      <c r="C11" s="125" t="s">
        <v>263</v>
      </c>
      <c r="D11" s="125" t="s">
        <v>254</v>
      </c>
      <c r="E11" s="126" t="s">
        <v>271</v>
      </c>
      <c r="F11" s="125">
        <v>36</v>
      </c>
      <c r="G11" s="125" t="s">
        <v>256</v>
      </c>
      <c r="H11" s="127">
        <v>5.5</v>
      </c>
      <c r="I11" s="128">
        <f t="shared" si="0"/>
        <v>198</v>
      </c>
      <c r="L11" s="191"/>
    </row>
    <row r="12" spans="1:12" ht="15.95" customHeight="1" x14ac:dyDescent="0.3">
      <c r="A12" s="123">
        <v>9</v>
      </c>
      <c r="B12" s="124" t="s">
        <v>272</v>
      </c>
      <c r="C12" s="125" t="s">
        <v>263</v>
      </c>
      <c r="D12" s="125" t="s">
        <v>254</v>
      </c>
      <c r="E12" s="126" t="s">
        <v>271</v>
      </c>
      <c r="F12" s="125">
        <v>4</v>
      </c>
      <c r="G12" s="125" t="s">
        <v>256</v>
      </c>
      <c r="H12" s="127">
        <v>45.5</v>
      </c>
      <c r="I12" s="128">
        <f t="shared" si="0"/>
        <v>182</v>
      </c>
      <c r="L12" s="191"/>
    </row>
    <row r="13" spans="1:12" ht="15.95" customHeight="1" x14ac:dyDescent="0.3">
      <c r="A13" s="123">
        <v>10</v>
      </c>
      <c r="B13" s="124" t="s">
        <v>273</v>
      </c>
      <c r="C13" s="125" t="s">
        <v>258</v>
      </c>
      <c r="D13" s="125" t="s">
        <v>254</v>
      </c>
      <c r="E13" s="126" t="s">
        <v>274</v>
      </c>
      <c r="F13" s="125">
        <v>15</v>
      </c>
      <c r="G13" s="125" t="s">
        <v>256</v>
      </c>
      <c r="H13" s="127">
        <v>13.55</v>
      </c>
      <c r="I13" s="128">
        <f t="shared" si="0"/>
        <v>203.25</v>
      </c>
      <c r="L13" s="191"/>
    </row>
    <row r="14" spans="1:12" s="132" customFormat="1" ht="15.95" customHeight="1" x14ac:dyDescent="0.3">
      <c r="A14" s="123">
        <v>11</v>
      </c>
      <c r="B14" s="124" t="s">
        <v>275</v>
      </c>
      <c r="C14" s="125" t="s">
        <v>263</v>
      </c>
      <c r="D14" s="125" t="s">
        <v>254</v>
      </c>
      <c r="E14" s="126" t="s">
        <v>276</v>
      </c>
      <c r="F14" s="125">
        <v>15</v>
      </c>
      <c r="G14" s="125" t="s">
        <v>256</v>
      </c>
      <c r="H14" s="127">
        <v>11</v>
      </c>
      <c r="I14" s="128">
        <f t="shared" si="0"/>
        <v>165</v>
      </c>
      <c r="L14" s="191"/>
    </row>
    <row r="15" spans="1:12" ht="15.95" customHeight="1" x14ac:dyDescent="0.3">
      <c r="A15" s="123">
        <v>12</v>
      </c>
      <c r="B15" s="124" t="s">
        <v>277</v>
      </c>
      <c r="C15" s="125" t="s">
        <v>263</v>
      </c>
      <c r="D15" s="125" t="s">
        <v>254</v>
      </c>
      <c r="E15" s="126" t="s">
        <v>278</v>
      </c>
      <c r="F15" s="125">
        <v>4</v>
      </c>
      <c r="G15" s="125" t="s">
        <v>256</v>
      </c>
      <c r="H15" s="127">
        <v>6.7</v>
      </c>
      <c r="I15" s="128">
        <f t="shared" si="0"/>
        <v>26.8</v>
      </c>
      <c r="L15" s="191"/>
    </row>
    <row r="16" spans="1:12" ht="15.95" customHeight="1" x14ac:dyDescent="0.3">
      <c r="A16" s="123">
        <v>13</v>
      </c>
      <c r="B16" s="124" t="s">
        <v>279</v>
      </c>
      <c r="C16" s="125" t="s">
        <v>263</v>
      </c>
      <c r="D16" s="125" t="s">
        <v>254</v>
      </c>
      <c r="E16" s="126" t="s">
        <v>280</v>
      </c>
      <c r="F16" s="125">
        <v>20</v>
      </c>
      <c r="G16" s="125" t="s">
        <v>256</v>
      </c>
      <c r="H16" s="127">
        <v>6.5</v>
      </c>
      <c r="I16" s="128">
        <f t="shared" si="0"/>
        <v>130</v>
      </c>
      <c r="L16" s="191"/>
    </row>
    <row r="17" spans="1:12" ht="15.95" customHeight="1" x14ac:dyDescent="0.3">
      <c r="A17" s="123">
        <v>14</v>
      </c>
      <c r="B17" s="124" t="s">
        <v>281</v>
      </c>
      <c r="C17" s="125" t="s">
        <v>263</v>
      </c>
      <c r="D17" s="125" t="s">
        <v>254</v>
      </c>
      <c r="E17" s="126" t="s">
        <v>282</v>
      </c>
      <c r="F17" s="125">
        <v>15</v>
      </c>
      <c r="G17" s="125" t="s">
        <v>256</v>
      </c>
      <c r="H17" s="127">
        <v>5.9</v>
      </c>
      <c r="I17" s="128">
        <f t="shared" si="0"/>
        <v>88.5</v>
      </c>
      <c r="L17" s="191"/>
    </row>
    <row r="18" spans="1:12" ht="15.95" customHeight="1" x14ac:dyDescent="0.3">
      <c r="A18" s="123">
        <v>15</v>
      </c>
      <c r="B18" s="129" t="s">
        <v>283</v>
      </c>
      <c r="C18" s="123" t="s">
        <v>253</v>
      </c>
      <c r="D18" s="123" t="s">
        <v>254</v>
      </c>
      <c r="E18" s="130" t="s">
        <v>284</v>
      </c>
      <c r="F18" s="123">
        <v>50</v>
      </c>
      <c r="G18" s="125" t="s">
        <v>256</v>
      </c>
      <c r="H18" s="127">
        <v>8.99</v>
      </c>
      <c r="I18" s="128">
        <f t="shared" si="0"/>
        <v>449.5</v>
      </c>
      <c r="L18" s="191"/>
    </row>
    <row r="19" spans="1:12" ht="15.95" customHeight="1" x14ac:dyDescent="0.3">
      <c r="A19" s="123">
        <v>16</v>
      </c>
      <c r="B19" s="124" t="s">
        <v>285</v>
      </c>
      <c r="C19" s="125" t="s">
        <v>263</v>
      </c>
      <c r="D19" s="125" t="s">
        <v>254</v>
      </c>
      <c r="E19" s="126" t="s">
        <v>286</v>
      </c>
      <c r="F19" s="125">
        <v>10</v>
      </c>
      <c r="G19" s="125" t="s">
        <v>256</v>
      </c>
      <c r="H19" s="127">
        <v>6.55</v>
      </c>
      <c r="I19" s="128">
        <f t="shared" si="0"/>
        <v>65.5</v>
      </c>
      <c r="L19" s="191"/>
    </row>
    <row r="20" spans="1:12" ht="15.95" customHeight="1" x14ac:dyDescent="0.3">
      <c r="A20" s="123">
        <v>17</v>
      </c>
      <c r="B20" s="124" t="s">
        <v>287</v>
      </c>
      <c r="C20" s="125" t="s">
        <v>288</v>
      </c>
      <c r="D20" s="125" t="s">
        <v>254</v>
      </c>
      <c r="E20" s="126" t="s">
        <v>289</v>
      </c>
      <c r="F20" s="125">
        <v>20</v>
      </c>
      <c r="G20" s="125" t="s">
        <v>256</v>
      </c>
      <c r="H20" s="127">
        <v>55</v>
      </c>
      <c r="I20" s="128">
        <f t="shared" si="0"/>
        <v>1100</v>
      </c>
      <c r="L20" s="191"/>
    </row>
    <row r="21" spans="1:12" ht="15.95" customHeight="1" x14ac:dyDescent="0.3">
      <c r="A21" s="123">
        <v>18</v>
      </c>
      <c r="B21" s="124" t="s">
        <v>290</v>
      </c>
      <c r="C21" s="125" t="s">
        <v>288</v>
      </c>
      <c r="D21" s="125" t="s">
        <v>254</v>
      </c>
      <c r="E21" s="126" t="s">
        <v>291</v>
      </c>
      <c r="F21" s="125">
        <v>6</v>
      </c>
      <c r="G21" s="125" t="s">
        <v>256</v>
      </c>
      <c r="H21" s="127">
        <v>45</v>
      </c>
      <c r="I21" s="128">
        <f t="shared" si="0"/>
        <v>270</v>
      </c>
      <c r="L21" s="191"/>
    </row>
    <row r="22" spans="1:12" ht="15.95" customHeight="1" x14ac:dyDescent="0.3">
      <c r="A22" s="123">
        <v>19</v>
      </c>
      <c r="B22" s="124" t="s">
        <v>292</v>
      </c>
      <c r="C22" s="125" t="s">
        <v>288</v>
      </c>
      <c r="D22" s="125" t="s">
        <v>254</v>
      </c>
      <c r="E22" s="126" t="s">
        <v>293</v>
      </c>
      <c r="F22" s="125">
        <v>3</v>
      </c>
      <c r="G22" s="125" t="s">
        <v>256</v>
      </c>
      <c r="H22" s="127">
        <v>19</v>
      </c>
      <c r="I22" s="128">
        <f t="shared" si="0"/>
        <v>57</v>
      </c>
      <c r="L22" s="191"/>
    </row>
    <row r="23" spans="1:12" ht="15.95" customHeight="1" x14ac:dyDescent="0.3">
      <c r="A23" s="123">
        <v>20</v>
      </c>
      <c r="B23" s="129" t="s">
        <v>294</v>
      </c>
      <c r="C23" s="123" t="s">
        <v>288</v>
      </c>
      <c r="D23" s="123" t="s">
        <v>254</v>
      </c>
      <c r="E23" s="130" t="s">
        <v>295</v>
      </c>
      <c r="F23" s="123">
        <v>120</v>
      </c>
      <c r="G23" s="125" t="s">
        <v>256</v>
      </c>
      <c r="H23" s="127">
        <v>22</v>
      </c>
      <c r="I23" s="128">
        <f t="shared" si="0"/>
        <v>2640</v>
      </c>
      <c r="L23" s="191"/>
    </row>
    <row r="24" spans="1:12" ht="15.95" customHeight="1" x14ac:dyDescent="0.3">
      <c r="A24" s="123">
        <v>21</v>
      </c>
      <c r="B24" s="124" t="s">
        <v>296</v>
      </c>
      <c r="C24" s="125" t="s">
        <v>253</v>
      </c>
      <c r="D24" s="125" t="s">
        <v>254</v>
      </c>
      <c r="E24" s="126" t="s">
        <v>297</v>
      </c>
      <c r="F24" s="125">
        <v>5</v>
      </c>
      <c r="G24" s="125" t="s">
        <v>256</v>
      </c>
      <c r="H24" s="127">
        <v>8</v>
      </c>
      <c r="I24" s="128">
        <f t="shared" si="0"/>
        <v>40</v>
      </c>
      <c r="L24" s="191"/>
    </row>
    <row r="25" spans="1:12" s="131" customFormat="1" ht="15.95" customHeight="1" x14ac:dyDescent="0.3">
      <c r="A25" s="123">
        <v>22</v>
      </c>
      <c r="B25" s="124" t="s">
        <v>298</v>
      </c>
      <c r="C25" s="125" t="s">
        <v>263</v>
      </c>
      <c r="D25" s="125" t="s">
        <v>254</v>
      </c>
      <c r="E25" s="126" t="s">
        <v>299</v>
      </c>
      <c r="F25" s="125">
        <v>5</v>
      </c>
      <c r="G25" s="125" t="s">
        <v>256</v>
      </c>
      <c r="H25" s="127">
        <v>45</v>
      </c>
      <c r="I25" s="128">
        <f t="shared" si="0"/>
        <v>225</v>
      </c>
      <c r="L25" s="191"/>
    </row>
    <row r="26" spans="1:12" ht="15.95" customHeight="1" x14ac:dyDescent="0.3">
      <c r="A26" s="123">
        <v>23</v>
      </c>
      <c r="B26" s="124" t="s">
        <v>300</v>
      </c>
      <c r="C26" s="125" t="s">
        <v>263</v>
      </c>
      <c r="D26" s="125" t="s">
        <v>254</v>
      </c>
      <c r="E26" s="126" t="s">
        <v>301</v>
      </c>
      <c r="F26" s="125">
        <v>34</v>
      </c>
      <c r="G26" s="125" t="s">
        <v>256</v>
      </c>
      <c r="H26" s="127">
        <v>11.8</v>
      </c>
      <c r="I26" s="128">
        <f t="shared" si="0"/>
        <v>401.20000000000005</v>
      </c>
      <c r="L26" s="191"/>
    </row>
    <row r="27" spans="1:12" ht="15.95" customHeight="1" x14ac:dyDescent="0.3">
      <c r="A27" s="123">
        <v>24</v>
      </c>
      <c r="B27" s="124" t="s">
        <v>302</v>
      </c>
      <c r="C27" s="125" t="s">
        <v>253</v>
      </c>
      <c r="D27" s="125" t="s">
        <v>254</v>
      </c>
      <c r="E27" s="126"/>
      <c r="F27" s="125">
        <v>2</v>
      </c>
      <c r="G27" s="125" t="s">
        <v>256</v>
      </c>
      <c r="H27" s="127">
        <v>44</v>
      </c>
      <c r="I27" s="128">
        <f t="shared" si="0"/>
        <v>88</v>
      </c>
      <c r="L27" s="191"/>
    </row>
    <row r="28" spans="1:12" ht="15.95" customHeight="1" x14ac:dyDescent="0.3">
      <c r="A28" s="123">
        <v>25</v>
      </c>
      <c r="B28" s="124" t="s">
        <v>303</v>
      </c>
      <c r="C28" s="125" t="s">
        <v>253</v>
      </c>
      <c r="D28" s="125" t="s">
        <v>254</v>
      </c>
      <c r="E28" s="126"/>
      <c r="F28" s="125">
        <v>2</v>
      </c>
      <c r="G28" s="125" t="s">
        <v>256</v>
      </c>
      <c r="H28" s="127">
        <v>44</v>
      </c>
      <c r="I28" s="128">
        <f t="shared" si="0"/>
        <v>88</v>
      </c>
      <c r="L28" s="191"/>
    </row>
    <row r="29" spans="1:12" ht="15.95" customHeight="1" x14ac:dyDescent="0.3">
      <c r="A29" s="123">
        <v>26</v>
      </c>
      <c r="B29" s="124" t="s">
        <v>304</v>
      </c>
      <c r="C29" s="125" t="s">
        <v>253</v>
      </c>
      <c r="D29" s="125" t="s">
        <v>254</v>
      </c>
      <c r="E29" s="126"/>
      <c r="F29" s="125">
        <v>5</v>
      </c>
      <c r="G29" s="125" t="s">
        <v>256</v>
      </c>
      <c r="H29" s="127">
        <v>5.5</v>
      </c>
      <c r="I29" s="128">
        <f t="shared" si="0"/>
        <v>27.5</v>
      </c>
      <c r="L29" s="191"/>
    </row>
    <row r="30" spans="1:12" ht="15.95" customHeight="1" x14ac:dyDescent="0.3">
      <c r="A30" s="123">
        <v>27</v>
      </c>
      <c r="B30" s="124" t="s">
        <v>305</v>
      </c>
      <c r="C30" s="125" t="s">
        <v>253</v>
      </c>
      <c r="D30" s="125" t="s">
        <v>254</v>
      </c>
      <c r="E30" s="126"/>
      <c r="F30" s="125">
        <v>30</v>
      </c>
      <c r="G30" s="125" t="s">
        <v>256</v>
      </c>
      <c r="H30" s="127">
        <v>2.02</v>
      </c>
      <c r="I30" s="128">
        <f t="shared" si="0"/>
        <v>60.6</v>
      </c>
      <c r="L30" s="191"/>
    </row>
    <row r="31" spans="1:12" ht="15.95" customHeight="1" x14ac:dyDescent="0.3">
      <c r="A31" s="123">
        <v>28</v>
      </c>
      <c r="B31" s="124" t="s">
        <v>306</v>
      </c>
      <c r="C31" s="125" t="s">
        <v>253</v>
      </c>
      <c r="D31" s="125" t="s">
        <v>254</v>
      </c>
      <c r="E31" s="126"/>
      <c r="F31" s="125">
        <v>1</v>
      </c>
      <c r="G31" s="125" t="s">
        <v>256</v>
      </c>
      <c r="H31" s="127">
        <v>2.69</v>
      </c>
      <c r="I31" s="128">
        <f t="shared" si="0"/>
        <v>2.69</v>
      </c>
      <c r="L31" s="191"/>
    </row>
    <row r="32" spans="1:12" ht="15.95" customHeight="1" x14ac:dyDescent="0.3">
      <c r="A32" s="123">
        <v>29</v>
      </c>
      <c r="B32" s="124" t="s">
        <v>307</v>
      </c>
      <c r="C32" s="125" t="s">
        <v>253</v>
      </c>
      <c r="D32" s="125" t="s">
        <v>254</v>
      </c>
      <c r="E32" s="126"/>
      <c r="F32" s="125">
        <v>20</v>
      </c>
      <c r="G32" s="125" t="s">
        <v>256</v>
      </c>
      <c r="H32" s="127">
        <v>4.4000000000000004</v>
      </c>
      <c r="I32" s="128">
        <f t="shared" si="0"/>
        <v>88</v>
      </c>
      <c r="L32" s="191"/>
    </row>
    <row r="33" spans="1:12" ht="15.95" customHeight="1" x14ac:dyDescent="0.3">
      <c r="A33" s="123">
        <v>30</v>
      </c>
      <c r="B33" s="124" t="s">
        <v>308</v>
      </c>
      <c r="C33" s="125" t="s">
        <v>309</v>
      </c>
      <c r="D33" s="125" t="s">
        <v>310</v>
      </c>
      <c r="E33" s="126"/>
      <c r="F33" s="125">
        <v>6</v>
      </c>
      <c r="G33" s="125" t="s">
        <v>256</v>
      </c>
      <c r="H33" s="127">
        <v>3.9</v>
      </c>
      <c r="I33" s="128">
        <f t="shared" si="0"/>
        <v>23.4</v>
      </c>
      <c r="L33" s="191"/>
    </row>
    <row r="34" spans="1:12" ht="15.95" customHeight="1" x14ac:dyDescent="0.3">
      <c r="A34" s="123">
        <v>31</v>
      </c>
      <c r="B34" s="124" t="s">
        <v>311</v>
      </c>
      <c r="C34" s="125" t="s">
        <v>309</v>
      </c>
      <c r="D34" s="125" t="s">
        <v>310</v>
      </c>
      <c r="E34" s="126"/>
      <c r="F34" s="125">
        <v>8</v>
      </c>
      <c r="G34" s="125" t="s">
        <v>256</v>
      </c>
      <c r="H34" s="127">
        <v>3.9</v>
      </c>
      <c r="I34" s="128">
        <f t="shared" si="0"/>
        <v>31.2</v>
      </c>
      <c r="L34" s="191"/>
    </row>
    <row r="35" spans="1:12" ht="15.95" customHeight="1" x14ac:dyDescent="0.3">
      <c r="A35" s="123">
        <v>32</v>
      </c>
      <c r="B35" s="124" t="s">
        <v>312</v>
      </c>
      <c r="C35" s="125" t="s">
        <v>309</v>
      </c>
      <c r="D35" s="125" t="s">
        <v>310</v>
      </c>
      <c r="E35" s="126"/>
      <c r="F35" s="125">
        <v>7</v>
      </c>
      <c r="G35" s="125" t="s">
        <v>256</v>
      </c>
      <c r="H35" s="127">
        <v>3.9</v>
      </c>
      <c r="I35" s="128">
        <f t="shared" si="0"/>
        <v>27.3</v>
      </c>
      <c r="L35" s="191"/>
    </row>
    <row r="36" spans="1:12" ht="15.95" customHeight="1" x14ac:dyDescent="0.3">
      <c r="A36" s="123">
        <v>33</v>
      </c>
      <c r="B36" s="129" t="s">
        <v>313</v>
      </c>
      <c r="C36" s="123" t="s">
        <v>309</v>
      </c>
      <c r="D36" s="123" t="s">
        <v>310</v>
      </c>
      <c r="E36" s="130"/>
      <c r="F36" s="123">
        <v>5</v>
      </c>
      <c r="G36" s="125" t="s">
        <v>256</v>
      </c>
      <c r="H36" s="127">
        <v>4.2</v>
      </c>
      <c r="I36" s="128">
        <f t="shared" si="0"/>
        <v>21</v>
      </c>
      <c r="L36" s="191"/>
    </row>
    <row r="37" spans="1:12" ht="15.95" customHeight="1" x14ac:dyDescent="0.3">
      <c r="A37" s="123">
        <v>34</v>
      </c>
      <c r="B37" s="124" t="s">
        <v>314</v>
      </c>
      <c r="C37" s="125" t="s">
        <v>309</v>
      </c>
      <c r="D37" s="125" t="s">
        <v>310</v>
      </c>
      <c r="E37" s="126"/>
      <c r="F37" s="125">
        <v>16</v>
      </c>
      <c r="G37" s="125" t="s">
        <v>256</v>
      </c>
      <c r="H37" s="127">
        <v>4.2</v>
      </c>
      <c r="I37" s="128">
        <f t="shared" si="0"/>
        <v>67.2</v>
      </c>
      <c r="L37" s="191"/>
    </row>
    <row r="38" spans="1:12" ht="15.95" customHeight="1" x14ac:dyDescent="0.3">
      <c r="A38" s="123">
        <v>35</v>
      </c>
      <c r="B38" s="124" t="s">
        <v>315</v>
      </c>
      <c r="C38" s="125" t="s">
        <v>309</v>
      </c>
      <c r="D38" s="125" t="s">
        <v>310</v>
      </c>
      <c r="E38" s="126"/>
      <c r="F38" s="125">
        <v>20</v>
      </c>
      <c r="G38" s="125" t="s">
        <v>256</v>
      </c>
      <c r="H38" s="127">
        <v>5.9</v>
      </c>
      <c r="I38" s="128">
        <f t="shared" si="0"/>
        <v>118</v>
      </c>
      <c r="L38" s="191"/>
    </row>
    <row r="39" spans="1:12" ht="15.95" customHeight="1" x14ac:dyDescent="0.3">
      <c r="A39" s="123">
        <v>36</v>
      </c>
      <c r="B39" s="124" t="s">
        <v>316</v>
      </c>
      <c r="C39" s="125" t="s">
        <v>253</v>
      </c>
      <c r="D39" s="125" t="s">
        <v>310</v>
      </c>
      <c r="E39" s="126"/>
      <c r="F39" s="125">
        <v>21</v>
      </c>
      <c r="G39" s="125" t="s">
        <v>256</v>
      </c>
      <c r="H39" s="127">
        <v>17.100000000000001</v>
      </c>
      <c r="I39" s="128">
        <f t="shared" si="0"/>
        <v>359.1</v>
      </c>
      <c r="L39" s="191"/>
    </row>
    <row r="40" spans="1:12" ht="15.95" customHeight="1" x14ac:dyDescent="0.3">
      <c r="A40" s="123">
        <v>37</v>
      </c>
      <c r="B40" s="124" t="s">
        <v>317</v>
      </c>
      <c r="C40" s="125" t="s">
        <v>253</v>
      </c>
      <c r="D40" s="125" t="s">
        <v>254</v>
      </c>
      <c r="E40" s="126"/>
      <c r="F40" s="125">
        <v>55</v>
      </c>
      <c r="G40" s="125" t="s">
        <v>256</v>
      </c>
      <c r="H40" s="127">
        <v>4</v>
      </c>
      <c r="I40" s="128">
        <f t="shared" si="0"/>
        <v>220</v>
      </c>
      <c r="L40" s="191"/>
    </row>
    <row r="41" spans="1:12" s="131" customFormat="1" ht="15.95" customHeight="1" x14ac:dyDescent="0.3">
      <c r="A41" s="123">
        <v>38</v>
      </c>
      <c r="B41" s="124" t="s">
        <v>318</v>
      </c>
      <c r="C41" s="125" t="s">
        <v>388</v>
      </c>
      <c r="D41" s="125" t="s">
        <v>254</v>
      </c>
      <c r="E41" s="126"/>
      <c r="F41" s="125">
        <v>80</v>
      </c>
      <c r="G41" s="125" t="s">
        <v>256</v>
      </c>
      <c r="H41" s="127">
        <v>8.9</v>
      </c>
      <c r="I41" s="128">
        <f t="shared" si="0"/>
        <v>712</v>
      </c>
      <c r="L41" s="191"/>
    </row>
    <row r="42" spans="1:12" s="131" customFormat="1" ht="15.95" customHeight="1" x14ac:dyDescent="0.3">
      <c r="A42" s="123">
        <v>39</v>
      </c>
      <c r="B42" s="124" t="s">
        <v>318</v>
      </c>
      <c r="C42" s="125" t="s">
        <v>388</v>
      </c>
      <c r="D42" s="125" t="s">
        <v>254</v>
      </c>
      <c r="E42" s="126"/>
      <c r="F42" s="125">
        <v>120</v>
      </c>
      <c r="G42" s="125" t="s">
        <v>256</v>
      </c>
      <c r="H42" s="127">
        <v>8.9</v>
      </c>
      <c r="I42" s="128">
        <f t="shared" si="0"/>
        <v>1068</v>
      </c>
      <c r="L42" s="191"/>
    </row>
    <row r="43" spans="1:12" ht="15.95" customHeight="1" x14ac:dyDescent="0.3">
      <c r="A43" s="123">
        <v>40</v>
      </c>
      <c r="B43" s="124" t="s">
        <v>319</v>
      </c>
      <c r="C43" s="125" t="s">
        <v>388</v>
      </c>
      <c r="D43" s="125" t="s">
        <v>254</v>
      </c>
      <c r="E43" s="126"/>
      <c r="F43" s="125">
        <v>250</v>
      </c>
      <c r="G43" s="125" t="s">
        <v>256</v>
      </c>
      <c r="H43" s="127">
        <v>9.9</v>
      </c>
      <c r="I43" s="128">
        <f t="shared" si="0"/>
        <v>2475</v>
      </c>
      <c r="L43" s="191"/>
    </row>
    <row r="44" spans="1:12" ht="15.95" customHeight="1" x14ac:dyDescent="0.3">
      <c r="A44" s="123">
        <v>41</v>
      </c>
      <c r="B44" s="124" t="s">
        <v>320</v>
      </c>
      <c r="C44" s="125" t="s">
        <v>388</v>
      </c>
      <c r="D44" s="125" t="s">
        <v>254</v>
      </c>
      <c r="E44" s="126"/>
      <c r="F44" s="125">
        <v>80</v>
      </c>
      <c r="G44" s="125" t="s">
        <v>256</v>
      </c>
      <c r="H44" s="127">
        <v>10</v>
      </c>
      <c r="I44" s="128">
        <f t="shared" si="0"/>
        <v>800</v>
      </c>
      <c r="L44" s="191"/>
    </row>
    <row r="45" spans="1:12" ht="15.95" customHeight="1" x14ac:dyDescent="0.3">
      <c r="A45" s="123">
        <v>42</v>
      </c>
      <c r="B45" s="124" t="s">
        <v>321</v>
      </c>
      <c r="C45" s="125" t="s">
        <v>388</v>
      </c>
      <c r="D45" s="125" t="s">
        <v>254</v>
      </c>
      <c r="E45" s="126"/>
      <c r="F45" s="125">
        <v>250</v>
      </c>
      <c r="G45" s="125" t="s">
        <v>256</v>
      </c>
      <c r="H45" s="127">
        <v>9</v>
      </c>
      <c r="I45" s="128">
        <f t="shared" si="0"/>
        <v>2250</v>
      </c>
      <c r="L45" s="191"/>
    </row>
    <row r="46" spans="1:12" ht="15.95" customHeight="1" x14ac:dyDescent="0.3">
      <c r="A46" s="123">
        <v>43</v>
      </c>
      <c r="B46" s="124" t="s">
        <v>322</v>
      </c>
      <c r="C46" s="125" t="s">
        <v>253</v>
      </c>
      <c r="D46" s="125" t="s">
        <v>254</v>
      </c>
      <c r="E46" s="126"/>
      <c r="F46" s="125">
        <v>10</v>
      </c>
      <c r="G46" s="125" t="s">
        <v>323</v>
      </c>
      <c r="H46" s="127">
        <v>25</v>
      </c>
      <c r="I46" s="128">
        <f>F46*H46/4</f>
        <v>62.5</v>
      </c>
      <c r="L46" s="191"/>
    </row>
    <row r="47" spans="1:12" ht="15.95" customHeight="1" x14ac:dyDescent="0.3">
      <c r="A47" s="123">
        <v>44</v>
      </c>
      <c r="B47" s="124" t="s">
        <v>324</v>
      </c>
      <c r="C47" s="125" t="s">
        <v>253</v>
      </c>
      <c r="D47" s="125" t="s">
        <v>254</v>
      </c>
      <c r="E47" s="126"/>
      <c r="F47" s="125">
        <v>10</v>
      </c>
      <c r="G47" s="125" t="s">
        <v>323</v>
      </c>
      <c r="H47" s="127">
        <v>12.79</v>
      </c>
      <c r="I47" s="128">
        <f>F47*H47/4</f>
        <v>31.974999999999998</v>
      </c>
      <c r="L47" s="191"/>
    </row>
    <row r="48" spans="1:12" ht="15.95" customHeight="1" x14ac:dyDescent="0.3">
      <c r="A48" s="123">
        <v>45</v>
      </c>
      <c r="B48" s="124" t="s">
        <v>325</v>
      </c>
      <c r="C48" s="125" t="s">
        <v>253</v>
      </c>
      <c r="D48" s="125" t="s">
        <v>254</v>
      </c>
      <c r="E48" s="126"/>
      <c r="F48" s="125">
        <v>8</v>
      </c>
      <c r="G48" s="125" t="s">
        <v>323</v>
      </c>
      <c r="H48" s="127">
        <v>5.5</v>
      </c>
      <c r="I48" s="128">
        <f>F48*H48/4</f>
        <v>11</v>
      </c>
      <c r="L48" s="191"/>
    </row>
    <row r="49" spans="1:12" ht="15.95" customHeight="1" x14ac:dyDescent="0.3">
      <c r="A49" s="123">
        <v>46</v>
      </c>
      <c r="B49" s="124" t="s">
        <v>326</v>
      </c>
      <c r="C49" s="125" t="s">
        <v>253</v>
      </c>
      <c r="D49" s="125" t="s">
        <v>254</v>
      </c>
      <c r="E49" s="126"/>
      <c r="F49" s="125">
        <v>20</v>
      </c>
      <c r="G49" s="125" t="s">
        <v>323</v>
      </c>
      <c r="H49" s="127">
        <v>9</v>
      </c>
      <c r="I49" s="128">
        <f>F49*H49/4</f>
        <v>45</v>
      </c>
      <c r="L49" s="191"/>
    </row>
    <row r="50" spans="1:12" ht="15.95" customHeight="1" x14ac:dyDescent="0.3">
      <c r="A50" s="233" t="s">
        <v>330</v>
      </c>
      <c r="B50" s="234"/>
      <c r="C50" s="234"/>
      <c r="D50" s="234"/>
      <c r="E50" s="234"/>
      <c r="F50" s="234"/>
      <c r="G50" s="234"/>
      <c r="H50" s="235"/>
      <c r="I50" s="133">
        <f>SUM(I4:I49)</f>
        <v>17548.395</v>
      </c>
    </row>
    <row r="51" spans="1:12" ht="15.95" customHeight="1" thickBot="1" x14ac:dyDescent="0.35">
      <c r="A51" s="236" t="s">
        <v>391</v>
      </c>
      <c r="B51" s="237"/>
      <c r="C51" s="237"/>
      <c r="D51" s="237"/>
      <c r="E51" s="237"/>
      <c r="F51" s="237"/>
      <c r="G51" s="237"/>
      <c r="H51" s="237"/>
      <c r="I51" s="134">
        <f>I50/19</f>
        <v>923.59973684210524</v>
      </c>
    </row>
    <row r="52" spans="1:12" ht="18" thickTop="1" x14ac:dyDescent="0.3"/>
  </sheetData>
  <mergeCells count="3">
    <mergeCell ref="A50:H50"/>
    <mergeCell ref="A51:H51"/>
    <mergeCell ref="A1:I1"/>
  </mergeCells>
  <printOptions horizontalCentered="1"/>
  <pageMargins left="0.51181102362204722" right="0.51181102362204722" top="1.3779527559055118" bottom="0.39370078740157483" header="0.31496062992125984" footer="0.31496062992125984"/>
  <pageSetup paperSize="9" scale="58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4A4B1-4164-4062-8526-1A28F3F84136}">
  <dimension ref="A1:I29"/>
  <sheetViews>
    <sheetView view="pageBreakPreview" topLeftCell="A12" zoomScaleNormal="100" zoomScaleSheetLayoutView="100" workbookViewId="0">
      <selection activeCell="H30" sqref="H30"/>
    </sheetView>
  </sheetViews>
  <sheetFormatPr defaultColWidth="9.140625" defaultRowHeight="17.25" x14ac:dyDescent="0.3"/>
  <cols>
    <col min="1" max="1" width="4.85546875" style="138" customWidth="1"/>
    <col min="2" max="2" width="51.7109375" style="136" customWidth="1"/>
    <col min="3" max="3" width="9.28515625" style="137" customWidth="1"/>
    <col min="4" max="4" width="9.140625" style="138"/>
    <col min="5" max="5" width="11.5703125" style="138" customWidth="1"/>
    <col min="6" max="6" width="14.140625" style="136" bestFit="1" customWidth="1"/>
    <col min="7" max="7" width="11.42578125" style="116" bestFit="1" customWidth="1"/>
    <col min="8" max="8" width="12.7109375" style="116" bestFit="1" customWidth="1"/>
    <col min="9" max="9" width="14.5703125" style="116" customWidth="1"/>
    <col min="10" max="16384" width="9.140625" style="116"/>
  </cols>
  <sheetData>
    <row r="1" spans="1:9" ht="15" customHeight="1" x14ac:dyDescent="0.3">
      <c r="A1" s="238" t="s">
        <v>331</v>
      </c>
      <c r="B1" s="238"/>
      <c r="C1" s="238"/>
      <c r="D1" s="238"/>
      <c r="E1" s="238"/>
      <c r="F1" s="238"/>
      <c r="G1" s="238"/>
      <c r="H1" s="238"/>
    </row>
    <row r="2" spans="1:9" ht="6" customHeight="1" x14ac:dyDescent="0.3">
      <c r="A2" s="135"/>
    </row>
    <row r="3" spans="1:9" ht="15" customHeight="1" x14ac:dyDescent="0.3">
      <c r="A3" s="120" t="s">
        <v>244</v>
      </c>
      <c r="B3" s="120" t="s">
        <v>124</v>
      </c>
      <c r="C3" s="120" t="s">
        <v>248</v>
      </c>
      <c r="D3" s="120" t="s">
        <v>355</v>
      </c>
      <c r="E3" s="120" t="s">
        <v>249</v>
      </c>
      <c r="F3" s="120" t="s">
        <v>250</v>
      </c>
      <c r="G3" s="120" t="s">
        <v>332</v>
      </c>
      <c r="H3" s="120" t="s">
        <v>251</v>
      </c>
    </row>
    <row r="4" spans="1:9" ht="15" customHeight="1" x14ac:dyDescent="0.3">
      <c r="A4" s="139">
        <v>1</v>
      </c>
      <c r="B4" s="140" t="s">
        <v>333</v>
      </c>
      <c r="C4" s="141">
        <v>1</v>
      </c>
      <c r="D4" s="141" t="s">
        <v>253</v>
      </c>
      <c r="E4" s="141" t="s">
        <v>334</v>
      </c>
      <c r="F4" s="143">
        <v>555</v>
      </c>
      <c r="G4" s="143">
        <f>C4*F4</f>
        <v>555</v>
      </c>
      <c r="H4" s="143">
        <f>G4/60</f>
        <v>9.25</v>
      </c>
      <c r="I4" s="194"/>
    </row>
    <row r="5" spans="1:9" ht="15" customHeight="1" x14ac:dyDescent="0.3">
      <c r="A5" s="139">
        <v>2</v>
      </c>
      <c r="B5" s="140" t="s">
        <v>335</v>
      </c>
      <c r="C5" s="141">
        <v>2</v>
      </c>
      <c r="D5" s="141" t="s">
        <v>253</v>
      </c>
      <c r="E5" s="141" t="s">
        <v>334</v>
      </c>
      <c r="F5" s="143">
        <v>499</v>
      </c>
      <c r="G5" s="143">
        <f t="shared" ref="G5:G25" si="0">C5*F5</f>
        <v>998</v>
      </c>
      <c r="H5" s="143">
        <f>G5/60</f>
        <v>16.633333333333333</v>
      </c>
      <c r="I5" s="194"/>
    </row>
    <row r="6" spans="1:9" ht="15" customHeight="1" x14ac:dyDescent="0.3">
      <c r="A6" s="139">
        <v>3</v>
      </c>
      <c r="B6" s="140" t="s">
        <v>336</v>
      </c>
      <c r="C6" s="141">
        <v>1</v>
      </c>
      <c r="D6" s="141" t="s">
        <v>253</v>
      </c>
      <c r="E6" s="141" t="s">
        <v>334</v>
      </c>
      <c r="F6" s="143">
        <v>178</v>
      </c>
      <c r="G6" s="143">
        <f t="shared" si="0"/>
        <v>178</v>
      </c>
      <c r="H6" s="143">
        <f t="shared" ref="H6:H15" si="1">G6/60</f>
        <v>2.9666666666666668</v>
      </c>
      <c r="I6" s="194"/>
    </row>
    <row r="7" spans="1:9" ht="15" customHeight="1" x14ac:dyDescent="0.3">
      <c r="A7" s="139">
        <v>4</v>
      </c>
      <c r="B7" s="140" t="s">
        <v>337</v>
      </c>
      <c r="C7" s="141">
        <v>1</v>
      </c>
      <c r="D7" s="141" t="s">
        <v>253</v>
      </c>
      <c r="E7" s="141" t="s">
        <v>334</v>
      </c>
      <c r="F7" s="143">
        <v>480</v>
      </c>
      <c r="G7" s="143">
        <f t="shared" si="0"/>
        <v>480</v>
      </c>
      <c r="H7" s="143">
        <f t="shared" si="1"/>
        <v>8</v>
      </c>
      <c r="I7" s="194"/>
    </row>
    <row r="8" spans="1:9" s="132" customFormat="1" ht="15" customHeight="1" x14ac:dyDescent="0.3">
      <c r="A8" s="139">
        <v>5</v>
      </c>
      <c r="B8" s="140" t="s">
        <v>338</v>
      </c>
      <c r="C8" s="141">
        <v>2</v>
      </c>
      <c r="D8" s="141" t="s">
        <v>253</v>
      </c>
      <c r="E8" s="141" t="s">
        <v>334</v>
      </c>
      <c r="F8" s="143">
        <v>1800</v>
      </c>
      <c r="G8" s="143">
        <f t="shared" si="0"/>
        <v>3600</v>
      </c>
      <c r="H8" s="143">
        <f t="shared" si="1"/>
        <v>60</v>
      </c>
      <c r="I8" s="194"/>
    </row>
    <row r="9" spans="1:9" ht="15" customHeight="1" x14ac:dyDescent="0.3">
      <c r="A9" s="139">
        <v>6</v>
      </c>
      <c r="B9" s="140" t="s">
        <v>339</v>
      </c>
      <c r="C9" s="141">
        <v>2</v>
      </c>
      <c r="D9" s="141" t="s">
        <v>253</v>
      </c>
      <c r="E9" s="141" t="s">
        <v>334</v>
      </c>
      <c r="F9" s="143">
        <v>45</v>
      </c>
      <c r="G9" s="143">
        <f t="shared" si="0"/>
        <v>90</v>
      </c>
      <c r="H9" s="143">
        <f t="shared" si="1"/>
        <v>1.5</v>
      </c>
      <c r="I9" s="194"/>
    </row>
    <row r="10" spans="1:9" s="131" customFormat="1" ht="15" customHeight="1" x14ac:dyDescent="0.3">
      <c r="A10" s="139">
        <v>7</v>
      </c>
      <c r="B10" s="140" t="s">
        <v>340</v>
      </c>
      <c r="C10" s="141">
        <v>2</v>
      </c>
      <c r="D10" s="141" t="s">
        <v>253</v>
      </c>
      <c r="E10" s="141" t="s">
        <v>334</v>
      </c>
      <c r="F10" s="143">
        <v>150</v>
      </c>
      <c r="G10" s="143">
        <f t="shared" si="0"/>
        <v>300</v>
      </c>
      <c r="H10" s="143">
        <f t="shared" si="1"/>
        <v>5</v>
      </c>
      <c r="I10" s="194"/>
    </row>
    <row r="11" spans="1:9" ht="15" customHeight="1" x14ac:dyDescent="0.3">
      <c r="A11" s="139">
        <v>8</v>
      </c>
      <c r="B11" s="140" t="s">
        <v>341</v>
      </c>
      <c r="C11" s="141">
        <v>3</v>
      </c>
      <c r="D11" s="141" t="s">
        <v>253</v>
      </c>
      <c r="E11" s="141" t="s">
        <v>334</v>
      </c>
      <c r="F11" s="143">
        <v>88</v>
      </c>
      <c r="G11" s="143">
        <f t="shared" si="0"/>
        <v>264</v>
      </c>
      <c r="H11" s="143">
        <f t="shared" si="1"/>
        <v>4.4000000000000004</v>
      </c>
      <c r="I11" s="194"/>
    </row>
    <row r="12" spans="1:9" ht="15" customHeight="1" x14ac:dyDescent="0.3">
      <c r="A12" s="139">
        <v>9</v>
      </c>
      <c r="B12" s="140" t="s">
        <v>342</v>
      </c>
      <c r="C12" s="141">
        <v>2</v>
      </c>
      <c r="D12" s="141" t="s">
        <v>253</v>
      </c>
      <c r="E12" s="141" t="s">
        <v>334</v>
      </c>
      <c r="F12" s="143">
        <v>1000</v>
      </c>
      <c r="G12" s="143">
        <f t="shared" si="0"/>
        <v>2000</v>
      </c>
      <c r="H12" s="143">
        <f t="shared" si="1"/>
        <v>33.333333333333336</v>
      </c>
      <c r="I12" s="194"/>
    </row>
    <row r="13" spans="1:9" ht="15" customHeight="1" x14ac:dyDescent="0.3">
      <c r="A13" s="139">
        <v>10</v>
      </c>
      <c r="B13" s="142" t="s">
        <v>343</v>
      </c>
      <c r="C13" s="139">
        <v>1</v>
      </c>
      <c r="D13" s="141" t="s">
        <v>253</v>
      </c>
      <c r="E13" s="141" t="s">
        <v>334</v>
      </c>
      <c r="F13" s="143">
        <v>43</v>
      </c>
      <c r="G13" s="143">
        <f t="shared" si="0"/>
        <v>43</v>
      </c>
      <c r="H13" s="143">
        <f t="shared" si="1"/>
        <v>0.71666666666666667</v>
      </c>
      <c r="I13" s="194"/>
    </row>
    <row r="14" spans="1:9" ht="15" customHeight="1" x14ac:dyDescent="0.3">
      <c r="A14" s="139">
        <v>11</v>
      </c>
      <c r="B14" s="140" t="s">
        <v>344</v>
      </c>
      <c r="C14" s="141">
        <v>6</v>
      </c>
      <c r="D14" s="141" t="s">
        <v>253</v>
      </c>
      <c r="E14" s="141" t="s">
        <v>334</v>
      </c>
      <c r="F14" s="143">
        <v>33</v>
      </c>
      <c r="G14" s="143">
        <f t="shared" si="0"/>
        <v>198</v>
      </c>
      <c r="H14" s="143">
        <f t="shared" si="1"/>
        <v>3.3</v>
      </c>
      <c r="I14" s="194"/>
    </row>
    <row r="15" spans="1:9" ht="15" customHeight="1" x14ac:dyDescent="0.3">
      <c r="A15" s="139">
        <v>12</v>
      </c>
      <c r="B15" s="140" t="s">
        <v>345</v>
      </c>
      <c r="C15" s="141">
        <v>2</v>
      </c>
      <c r="D15" s="141" t="s">
        <v>253</v>
      </c>
      <c r="E15" s="141" t="s">
        <v>334</v>
      </c>
      <c r="F15" s="143">
        <v>19</v>
      </c>
      <c r="G15" s="143">
        <f t="shared" si="0"/>
        <v>38</v>
      </c>
      <c r="H15" s="143">
        <f t="shared" si="1"/>
        <v>0.6333333333333333</v>
      </c>
      <c r="I15" s="194"/>
    </row>
    <row r="16" spans="1:9" ht="15" customHeight="1" x14ac:dyDescent="0.3">
      <c r="A16" s="139">
        <v>13</v>
      </c>
      <c r="B16" s="140" t="s">
        <v>346</v>
      </c>
      <c r="C16" s="141">
        <v>1</v>
      </c>
      <c r="D16" s="141" t="s">
        <v>253</v>
      </c>
      <c r="E16" s="141" t="s">
        <v>334</v>
      </c>
      <c r="F16" s="143">
        <v>3250</v>
      </c>
      <c r="G16" s="143">
        <f t="shared" si="0"/>
        <v>3250</v>
      </c>
      <c r="H16" s="143">
        <f>G16/60</f>
        <v>54.166666666666664</v>
      </c>
      <c r="I16" s="194"/>
    </row>
    <row r="17" spans="1:9" ht="15" customHeight="1" x14ac:dyDescent="0.3">
      <c r="A17" s="139">
        <v>14</v>
      </c>
      <c r="B17" s="140" t="s">
        <v>347</v>
      </c>
      <c r="C17" s="141">
        <v>19</v>
      </c>
      <c r="D17" s="141" t="s">
        <v>253</v>
      </c>
      <c r="E17" s="141" t="s">
        <v>328</v>
      </c>
      <c r="F17" s="143">
        <v>22</v>
      </c>
      <c r="G17" s="143">
        <f t="shared" si="0"/>
        <v>418</v>
      </c>
      <c r="H17" s="143">
        <f>G17/12</f>
        <v>34.833333333333336</v>
      </c>
      <c r="I17" s="194"/>
    </row>
    <row r="18" spans="1:9" ht="15" customHeight="1" x14ac:dyDescent="0.3">
      <c r="A18" s="139">
        <v>15</v>
      </c>
      <c r="B18" s="140" t="s">
        <v>348</v>
      </c>
      <c r="C18" s="141">
        <v>3</v>
      </c>
      <c r="D18" s="141" t="s">
        <v>253</v>
      </c>
      <c r="E18" s="141" t="s">
        <v>349</v>
      </c>
      <c r="F18" s="143">
        <v>100</v>
      </c>
      <c r="G18" s="143">
        <f t="shared" si="0"/>
        <v>300</v>
      </c>
      <c r="H18" s="143">
        <f>G18/6</f>
        <v>50</v>
      </c>
      <c r="I18" s="194"/>
    </row>
    <row r="19" spans="1:9" ht="15" customHeight="1" x14ac:dyDescent="0.3">
      <c r="A19" s="139">
        <v>16</v>
      </c>
      <c r="B19" s="140" t="s">
        <v>350</v>
      </c>
      <c r="C19" s="141">
        <v>1</v>
      </c>
      <c r="D19" s="141" t="s">
        <v>253</v>
      </c>
      <c r="E19" s="141" t="s">
        <v>349</v>
      </c>
      <c r="F19" s="143">
        <v>33</v>
      </c>
      <c r="G19" s="143">
        <f t="shared" si="0"/>
        <v>33</v>
      </c>
      <c r="H19" s="143">
        <f t="shared" ref="H19:H23" si="2">G19/6</f>
        <v>5.5</v>
      </c>
      <c r="I19" s="194"/>
    </row>
    <row r="20" spans="1:9" ht="15" customHeight="1" x14ac:dyDescent="0.3">
      <c r="A20" s="139">
        <v>17</v>
      </c>
      <c r="B20" s="140" t="s">
        <v>351</v>
      </c>
      <c r="C20" s="141">
        <v>10</v>
      </c>
      <c r="D20" s="141" t="s">
        <v>253</v>
      </c>
      <c r="E20" s="141" t="s">
        <v>349</v>
      </c>
      <c r="F20" s="143">
        <v>6.9</v>
      </c>
      <c r="G20" s="143">
        <f t="shared" si="0"/>
        <v>69</v>
      </c>
      <c r="H20" s="143">
        <f t="shared" si="2"/>
        <v>11.5</v>
      </c>
      <c r="I20" s="194"/>
    </row>
    <row r="21" spans="1:9" s="132" customFormat="1" ht="15" customHeight="1" x14ac:dyDescent="0.3">
      <c r="A21" s="139">
        <v>18</v>
      </c>
      <c r="B21" s="140" t="s">
        <v>352</v>
      </c>
      <c r="C21" s="141">
        <v>10</v>
      </c>
      <c r="D21" s="141" t="s">
        <v>253</v>
      </c>
      <c r="E21" s="141" t="s">
        <v>349</v>
      </c>
      <c r="F21" s="143">
        <v>48</v>
      </c>
      <c r="G21" s="143">
        <f t="shared" si="0"/>
        <v>480</v>
      </c>
      <c r="H21" s="143">
        <f t="shared" si="2"/>
        <v>80</v>
      </c>
      <c r="I21" s="194"/>
    </row>
    <row r="22" spans="1:9" ht="15" customHeight="1" x14ac:dyDescent="0.3">
      <c r="A22" s="139">
        <v>19</v>
      </c>
      <c r="B22" s="140" t="s">
        <v>353</v>
      </c>
      <c r="C22" s="141">
        <v>10</v>
      </c>
      <c r="D22" s="141" t="s">
        <v>253</v>
      </c>
      <c r="E22" s="141" t="s">
        <v>349</v>
      </c>
      <c r="F22" s="143">
        <v>48</v>
      </c>
      <c r="G22" s="143">
        <f t="shared" si="0"/>
        <v>480</v>
      </c>
      <c r="H22" s="143">
        <f t="shared" si="2"/>
        <v>80</v>
      </c>
      <c r="I22" s="194"/>
    </row>
    <row r="23" spans="1:9" ht="15" customHeight="1" x14ac:dyDescent="0.3">
      <c r="A23" s="139">
        <v>20</v>
      </c>
      <c r="B23" s="140" t="s">
        <v>354</v>
      </c>
      <c r="C23" s="141">
        <v>10</v>
      </c>
      <c r="D23" s="141" t="s">
        <v>253</v>
      </c>
      <c r="E23" s="141" t="s">
        <v>349</v>
      </c>
      <c r="F23" s="143">
        <v>48</v>
      </c>
      <c r="G23" s="143">
        <f t="shared" si="0"/>
        <v>480</v>
      </c>
      <c r="H23" s="143">
        <f t="shared" si="2"/>
        <v>80</v>
      </c>
      <c r="I23" s="194"/>
    </row>
    <row r="24" spans="1:9" ht="15" customHeight="1" x14ac:dyDescent="0.3">
      <c r="A24" s="139">
        <v>21</v>
      </c>
      <c r="B24" s="124" t="s">
        <v>327</v>
      </c>
      <c r="C24" s="125">
        <v>20</v>
      </c>
      <c r="D24" s="125" t="s">
        <v>253</v>
      </c>
      <c r="E24" s="125" t="s">
        <v>328</v>
      </c>
      <c r="F24" s="143">
        <v>33</v>
      </c>
      <c r="G24" s="143">
        <f>C24*F24</f>
        <v>660</v>
      </c>
      <c r="H24" s="143">
        <f>G24/12</f>
        <v>55</v>
      </c>
      <c r="I24" s="194"/>
    </row>
    <row r="25" spans="1:9" ht="15" customHeight="1" x14ac:dyDescent="0.3">
      <c r="A25" s="139">
        <v>22</v>
      </c>
      <c r="B25" s="124" t="s">
        <v>329</v>
      </c>
      <c r="C25" s="125">
        <v>20</v>
      </c>
      <c r="D25" s="125" t="s">
        <v>253</v>
      </c>
      <c r="E25" s="125" t="s">
        <v>328</v>
      </c>
      <c r="F25" s="143">
        <v>20</v>
      </c>
      <c r="G25" s="143">
        <f t="shared" si="0"/>
        <v>400</v>
      </c>
      <c r="H25" s="143">
        <f t="shared" ref="H25" si="3">G25/12</f>
        <v>33.333333333333336</v>
      </c>
      <c r="I25" s="194"/>
    </row>
    <row r="26" spans="1:9" x14ac:dyDescent="0.3">
      <c r="A26" s="239" t="s">
        <v>330</v>
      </c>
      <c r="B26" s="240"/>
      <c r="C26" s="240"/>
      <c r="D26" s="240"/>
      <c r="E26" s="240"/>
      <c r="F26" s="240"/>
      <c r="G26" s="241"/>
      <c r="H26" s="144">
        <f>SUM(H4:H25)</f>
        <v>630.06666666666672</v>
      </c>
      <c r="I26" s="194"/>
    </row>
    <row r="27" spans="1:9" ht="18" thickBot="1" x14ac:dyDescent="0.35">
      <c r="A27" s="242" t="s">
        <v>385</v>
      </c>
      <c r="B27" s="243"/>
      <c r="C27" s="243"/>
      <c r="D27" s="243"/>
      <c r="E27" s="243"/>
      <c r="F27" s="243"/>
      <c r="G27" s="244"/>
      <c r="H27" s="144">
        <f>H26/19</f>
        <v>33.161403508771933</v>
      </c>
    </row>
    <row r="28" spans="1:9" ht="18" thickTop="1" x14ac:dyDescent="0.3">
      <c r="F28" s="195"/>
    </row>
    <row r="29" spans="1:9" x14ac:dyDescent="0.3">
      <c r="F29" s="195"/>
    </row>
  </sheetData>
  <mergeCells count="3">
    <mergeCell ref="A1:H1"/>
    <mergeCell ref="A26:G26"/>
    <mergeCell ref="A27:G27"/>
  </mergeCells>
  <pageMargins left="0.511811024" right="0.511811024" top="0.78740157499999996" bottom="0.78740157499999996" header="0.31496062000000002" footer="0.31496062000000002"/>
  <pageSetup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"/>
  <sheetViews>
    <sheetView view="pageBreakPreview" zoomScaleNormal="100" zoomScaleSheetLayoutView="100" workbookViewId="0"/>
  </sheetViews>
  <sheetFormatPr defaultRowHeight="15" x14ac:dyDescent="0.25"/>
  <cols>
    <col min="1" max="1" width="55.85546875" bestFit="1" customWidth="1"/>
    <col min="2" max="2" width="11.28515625" bestFit="1" customWidth="1"/>
    <col min="3" max="3" width="18.5703125" style="61" bestFit="1" customWidth="1"/>
    <col min="4" max="4" width="12.42578125" style="37" customWidth="1"/>
  </cols>
  <sheetData>
    <row r="1" spans="1:4" ht="60" x14ac:dyDescent="0.25">
      <c r="A1" s="50" t="s">
        <v>114</v>
      </c>
      <c r="B1" s="50" t="s">
        <v>140</v>
      </c>
      <c r="C1" s="50" t="s">
        <v>392</v>
      </c>
      <c r="D1" s="50" t="s">
        <v>139</v>
      </c>
    </row>
    <row r="2" spans="1:4" ht="14.45" customHeight="1" x14ac:dyDescent="0.25">
      <c r="A2" s="51" t="s">
        <v>137</v>
      </c>
      <c r="B2" s="52"/>
      <c r="C2" s="60"/>
      <c r="D2" s="53"/>
    </row>
    <row r="3" spans="1:4" ht="17.25" x14ac:dyDescent="0.25">
      <c r="A3" s="54" t="s">
        <v>132</v>
      </c>
      <c r="B3" s="55">
        <v>0</v>
      </c>
      <c r="C3" s="55" t="s">
        <v>142</v>
      </c>
      <c r="D3" s="56"/>
    </row>
    <row r="4" spans="1:4" ht="17.25" x14ac:dyDescent="0.25">
      <c r="A4" s="54" t="s">
        <v>148</v>
      </c>
      <c r="B4" s="57">
        <v>12183.38</v>
      </c>
      <c r="C4" s="55" t="s">
        <v>143</v>
      </c>
      <c r="D4" s="58">
        <f>B4/1200</f>
        <v>10.152816666666666</v>
      </c>
    </row>
    <row r="5" spans="1:4" ht="17.25" x14ac:dyDescent="0.25">
      <c r="A5" s="54" t="s">
        <v>149</v>
      </c>
      <c r="B5" s="55">
        <v>0</v>
      </c>
      <c r="C5" s="55" t="s">
        <v>144</v>
      </c>
      <c r="D5" s="58"/>
    </row>
    <row r="6" spans="1:4" ht="17.25" x14ac:dyDescent="0.25">
      <c r="A6" s="54" t="s">
        <v>150</v>
      </c>
      <c r="B6" s="55">
        <v>344.28</v>
      </c>
      <c r="C6" s="55" t="s">
        <v>145</v>
      </c>
      <c r="D6" s="58">
        <f>B6/2500</f>
        <v>0.137712</v>
      </c>
    </row>
    <row r="7" spans="1:4" ht="17.25" x14ac:dyDescent="0.25">
      <c r="A7" s="54" t="s">
        <v>151</v>
      </c>
      <c r="B7" s="55">
        <v>0</v>
      </c>
      <c r="C7" s="55" t="s">
        <v>143</v>
      </c>
      <c r="D7" s="58"/>
    </row>
    <row r="8" spans="1:4" ht="17.25" x14ac:dyDescent="0.25">
      <c r="A8" s="54" t="s">
        <v>152</v>
      </c>
      <c r="B8" s="55">
        <v>216.69</v>
      </c>
      <c r="C8" s="55" t="s">
        <v>146</v>
      </c>
      <c r="D8" s="58">
        <f>B8/1500</f>
        <v>0.14446000000000001</v>
      </c>
    </row>
    <row r="9" spans="1:4" ht="17.25" x14ac:dyDescent="0.25">
      <c r="A9" s="54" t="s">
        <v>153</v>
      </c>
      <c r="B9" s="55">
        <v>959.26</v>
      </c>
      <c r="C9" s="55" t="s">
        <v>147</v>
      </c>
      <c r="D9" s="58">
        <f>B9/300</f>
        <v>3.1975333333333333</v>
      </c>
    </row>
    <row r="10" spans="1:4" x14ac:dyDescent="0.25">
      <c r="A10" s="59" t="s">
        <v>141</v>
      </c>
      <c r="B10" s="59">
        <f>SUM(B3:B9)</f>
        <v>13703.61</v>
      </c>
      <c r="C10" s="59"/>
      <c r="D10" s="49">
        <f>SUM(D4:D9)</f>
        <v>13.632522000000002</v>
      </c>
    </row>
    <row r="11" spans="1:4" ht="14.45" customHeight="1" x14ac:dyDescent="0.25">
      <c r="A11" s="51" t="s">
        <v>138</v>
      </c>
      <c r="B11" s="52"/>
      <c r="C11" s="60"/>
      <c r="D11" s="38"/>
    </row>
    <row r="12" spans="1:4" x14ac:dyDescent="0.25">
      <c r="A12" s="54" t="s">
        <v>154</v>
      </c>
      <c r="B12" s="57">
        <v>5690.93</v>
      </c>
      <c r="C12" s="57" t="s">
        <v>172</v>
      </c>
      <c r="D12" s="58">
        <f>B12/2000</f>
        <v>2.8454650000000004</v>
      </c>
    </row>
    <row r="13" spans="1:4" ht="17.25" x14ac:dyDescent="0.25">
      <c r="A13" s="54" t="s">
        <v>156</v>
      </c>
      <c r="B13" s="57">
        <v>3605</v>
      </c>
      <c r="C13" s="57" t="s">
        <v>155</v>
      </c>
      <c r="D13" s="58">
        <f>B13/9000</f>
        <v>0.40055555555555555</v>
      </c>
    </row>
    <row r="14" spans="1:4" ht="17.25" x14ac:dyDescent="0.25">
      <c r="A14" s="54" t="s">
        <v>158</v>
      </c>
      <c r="B14" s="55">
        <v>0</v>
      </c>
      <c r="C14" s="57" t="s">
        <v>157</v>
      </c>
      <c r="D14" s="58"/>
    </row>
    <row r="15" spans="1:4" ht="17.25" x14ac:dyDescent="0.25">
      <c r="A15" s="54" t="s">
        <v>159</v>
      </c>
      <c r="B15" s="55">
        <v>876.45</v>
      </c>
      <c r="C15" s="57" t="s">
        <v>157</v>
      </c>
      <c r="D15" s="58">
        <f>B15/2700</f>
        <v>0.32461111111111113</v>
      </c>
    </row>
    <row r="16" spans="1:4" ht="17.25" x14ac:dyDescent="0.25">
      <c r="A16" s="54" t="s">
        <v>160</v>
      </c>
      <c r="B16" s="55">
        <v>0</v>
      </c>
      <c r="C16" s="57" t="s">
        <v>157</v>
      </c>
      <c r="D16" s="58"/>
    </row>
    <row r="17" spans="1:4" ht="18.600000000000001" customHeight="1" x14ac:dyDescent="0.25">
      <c r="A17" s="54" t="s">
        <v>161</v>
      </c>
      <c r="B17" s="57">
        <v>2109</v>
      </c>
      <c r="C17" s="57" t="s">
        <v>162</v>
      </c>
      <c r="D17" s="58">
        <f>B17/100000</f>
        <v>2.1090000000000001E-2</v>
      </c>
    </row>
    <row r="18" spans="1:4" x14ac:dyDescent="0.25">
      <c r="A18" s="59" t="s">
        <v>141</v>
      </c>
      <c r="B18" s="59">
        <f>SUM(B12:B17)</f>
        <v>12281.380000000001</v>
      </c>
      <c r="C18" s="62"/>
      <c r="D18" s="49">
        <f>SUM(D12:D17)</f>
        <v>3.5917216666666669</v>
      </c>
    </row>
    <row r="19" spans="1:4" ht="14.45" customHeight="1" x14ac:dyDescent="0.25">
      <c r="A19" s="51" t="s">
        <v>163</v>
      </c>
      <c r="B19" s="52"/>
      <c r="C19" s="55"/>
      <c r="D19" s="48"/>
    </row>
    <row r="20" spans="1:4" ht="17.25" x14ac:dyDescent="0.25">
      <c r="A20" s="54" t="s">
        <v>165</v>
      </c>
      <c r="B20" s="55">
        <v>0</v>
      </c>
      <c r="C20" s="57" t="s">
        <v>164</v>
      </c>
      <c r="D20" s="48"/>
    </row>
    <row r="21" spans="1:4" ht="17.25" x14ac:dyDescent="0.25">
      <c r="A21" s="54" t="s">
        <v>166</v>
      </c>
      <c r="B21" s="55">
        <v>0</v>
      </c>
      <c r="C21" s="57" t="s">
        <v>170</v>
      </c>
      <c r="D21" s="48"/>
    </row>
    <row r="22" spans="1:4" ht="17.25" x14ac:dyDescent="0.25">
      <c r="A22" s="54" t="s">
        <v>167</v>
      </c>
      <c r="B22" s="57">
        <v>4919.04</v>
      </c>
      <c r="C22" s="57" t="s">
        <v>170</v>
      </c>
      <c r="D22" s="58">
        <f>(B22/30)*2/380</f>
        <v>0.86298947368421042</v>
      </c>
    </row>
    <row r="23" spans="1:4" ht="17.25" x14ac:dyDescent="0.25">
      <c r="A23" s="54" t="s">
        <v>168</v>
      </c>
      <c r="B23" s="55">
        <v>0</v>
      </c>
      <c r="C23" s="57" t="s">
        <v>164</v>
      </c>
      <c r="D23" s="48"/>
    </row>
    <row r="24" spans="1:4" ht="17.25" x14ac:dyDescent="0.25">
      <c r="A24" s="54" t="s">
        <v>169</v>
      </c>
      <c r="B24" s="55">
        <v>0</v>
      </c>
      <c r="C24" s="57" t="s">
        <v>171</v>
      </c>
      <c r="D24" s="48"/>
    </row>
    <row r="25" spans="1:4" x14ac:dyDescent="0.25">
      <c r="A25" s="64"/>
      <c r="B25" s="59">
        <f>SUM(B20:B24)</f>
        <v>4919.04</v>
      </c>
      <c r="C25" s="62"/>
      <c r="D25" s="49">
        <f>SUM(D19:D24)</f>
        <v>0.86298947368421042</v>
      </c>
    </row>
    <row r="26" spans="1:4" x14ac:dyDescent="0.25">
      <c r="A26" s="46"/>
      <c r="C26" s="47"/>
    </row>
    <row r="27" spans="1:4" x14ac:dyDescent="0.25">
      <c r="C27" s="47"/>
      <c r="D27" s="63">
        <f>D10+D18+D25</f>
        <v>18.087233140350879</v>
      </c>
    </row>
  </sheetData>
  <phoneticPr fontId="39" type="noConversion"/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PRODUTIVIDADE</vt:lpstr>
      <vt:lpstr>SERVENTE</vt:lpstr>
      <vt:lpstr>ENCARREGADO</vt:lpstr>
      <vt:lpstr>MÓDULOS PCFP -MENOR VLR OBTIDO</vt:lpstr>
      <vt:lpstr>CÁLCULO SUBSTITUTO FÉRIAS</vt:lpstr>
      <vt:lpstr>INSUMOS-LIMPEZA</vt:lpstr>
      <vt:lpstr>EQUIPAMENTOS-LIMPEZA</vt:lpstr>
      <vt:lpstr>QUANTID SERVENTES-IN 05-2017</vt:lpstr>
      <vt:lpstr>'EQUIPAMENTOS-LIMPEZA'!Area_de_impressao</vt:lpstr>
      <vt:lpstr>'INSUMOS-LIMPEZA'!Area_de_impressao</vt:lpstr>
      <vt:lpstr>PRODUTIVIDADE!Area_de_impressao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Walter Delciney Santos</cp:lastModifiedBy>
  <dcterms:created xsi:type="dcterms:W3CDTF">2018-01-23T19:35:16Z</dcterms:created>
  <dcterms:modified xsi:type="dcterms:W3CDTF">2022-07-25T16:55:50Z</dcterms:modified>
</cp:coreProperties>
</file>